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Transco_OKTCo_SWTCo\Filed Documents 5-27-22\"/>
    </mc:Choice>
  </mc:AlternateContent>
  <xr:revisionPtr revIDLastSave="0" documentId="8_{C3508394-17AD-4B7C-AE50-650C5B14D79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3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08" i="18"/>
  <c r="H81" i="18" l="1"/>
  <c r="H113" i="18"/>
  <c r="H145" i="18"/>
  <c r="H177" i="18"/>
  <c r="H37" i="18"/>
  <c r="H69" i="18"/>
  <c r="H101" i="18"/>
  <c r="H133" i="18"/>
  <c r="H165" i="18"/>
  <c r="H49" i="18"/>
  <c r="H21" i="18"/>
  <c r="H53" i="18"/>
  <c r="H85" i="18"/>
  <c r="H117" i="18"/>
  <c r="H149" i="18"/>
  <c r="H181" i="18"/>
  <c r="H33" i="18"/>
  <c r="H65" i="18"/>
  <c r="H97" i="18"/>
  <c r="H129" i="18"/>
  <c r="H161" i="18"/>
  <c r="H25" i="18"/>
  <c r="H41" i="18"/>
  <c r="H57" i="18"/>
  <c r="H73" i="18"/>
  <c r="H89" i="18"/>
  <c r="H105" i="18"/>
  <c r="H121" i="18"/>
  <c r="H137" i="18"/>
  <c r="H153" i="18"/>
  <c r="H169" i="18"/>
  <c r="H185" i="18"/>
  <c r="H29" i="18"/>
  <c r="H45" i="18"/>
  <c r="H61" i="18"/>
  <c r="H77" i="18"/>
  <c r="H93" i="18"/>
  <c r="H109" i="18"/>
  <c r="H125" i="18"/>
  <c r="H141" i="18"/>
  <c r="H157" i="18"/>
  <c r="H173" i="18"/>
  <c r="H26" i="18"/>
  <c r="H34" i="18"/>
  <c r="H42" i="18"/>
  <c r="H50" i="18"/>
  <c r="H58" i="18"/>
  <c r="H62" i="18"/>
  <c r="H70" i="18"/>
  <c r="H74" i="18"/>
  <c r="H78" i="18"/>
  <c r="H86" i="18"/>
  <c r="H94" i="18"/>
  <c r="H98" i="18"/>
  <c r="H106" i="18"/>
  <c r="H114" i="18"/>
  <c r="H122" i="18"/>
  <c r="H126" i="18"/>
  <c r="H134" i="18"/>
  <c r="H138" i="18"/>
  <c r="H146" i="18"/>
  <c r="H154" i="18"/>
  <c r="H162" i="18"/>
  <c r="H174" i="18"/>
  <c r="H182" i="18"/>
  <c r="H186" i="18"/>
  <c r="H190" i="18"/>
  <c r="H194" i="18"/>
  <c r="H198" i="18"/>
  <c r="H202" i="18"/>
  <c r="H210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89" i="18"/>
  <c r="H193" i="18"/>
  <c r="H197" i="18"/>
  <c r="H201" i="18"/>
  <c r="H205" i="18"/>
  <c r="H209" i="18"/>
  <c r="H22" i="18"/>
  <c r="H30" i="18"/>
  <c r="H38" i="18"/>
  <c r="H46" i="18"/>
  <c r="H54" i="18"/>
  <c r="H66" i="18"/>
  <c r="H82" i="18"/>
  <c r="H90" i="18"/>
  <c r="H102" i="18"/>
  <c r="H110" i="18"/>
  <c r="H118" i="18"/>
  <c r="H130" i="18"/>
  <c r="H142" i="18"/>
  <c r="H150" i="18"/>
  <c r="H158" i="18"/>
  <c r="H166" i="18"/>
  <c r="H170" i="18"/>
  <c r="H178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O191" i="18" l="1"/>
  <c r="K1" i="18"/>
  <c r="O59" i="18"/>
  <c r="P59" i="18" s="1"/>
  <c r="O67" i="18"/>
  <c r="O210" i="18"/>
  <c r="P210" i="18" s="1"/>
  <c r="O202" i="18"/>
  <c r="O178" i="18"/>
  <c r="O146" i="18"/>
  <c r="P146" i="18" s="1"/>
  <c r="O138" i="18"/>
  <c r="O98" i="18"/>
  <c r="O90" i="18"/>
  <c r="P90" i="18" s="1"/>
  <c r="O38" i="18"/>
  <c r="P38" i="18" s="1"/>
  <c r="O209" i="18"/>
  <c r="O181" i="18"/>
  <c r="P181" i="18" s="1"/>
  <c r="O177" i="18"/>
  <c r="P177" i="18" s="1"/>
  <c r="O145" i="18"/>
  <c r="O121" i="18"/>
  <c r="O97" i="18"/>
  <c r="O81" i="18"/>
  <c r="P81" i="18" s="1"/>
  <c r="O73" i="18"/>
  <c r="O49" i="18"/>
  <c r="O25" i="18"/>
  <c r="O208" i="18"/>
  <c r="P208" i="18" s="1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35" i="18" s="1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3" i="29" s="1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63" i="18"/>
  <c r="D35" i="18"/>
  <c r="D37" i="18"/>
  <c r="D40" i="18"/>
  <c r="D52" i="18" s="1"/>
  <c r="C72" i="18"/>
  <c r="D33" i="18"/>
  <c r="D34" i="18"/>
  <c r="D46" i="18" s="1"/>
  <c r="D57" i="18"/>
  <c r="D69" i="18" s="1"/>
  <c r="C54" i="18"/>
  <c r="C66" i="18"/>
  <c r="C90" i="18" s="1"/>
  <c r="C102" i="18" s="1"/>
  <c r="C114" i="18" s="1"/>
  <c r="C126" i="18" s="1"/>
  <c r="C138" i="18" s="1"/>
  <c r="C150" i="18" s="1"/>
  <c r="C162" i="18" s="1"/>
  <c r="C78" i="18"/>
  <c r="D45" i="18"/>
  <c r="C49" i="18"/>
  <c r="C73" i="18"/>
  <c r="C57" i="18"/>
  <c r="C81" i="18" s="1"/>
  <c r="C93" i="18" s="1"/>
  <c r="C105" i="18" s="1"/>
  <c r="C117" i="18" s="1"/>
  <c r="C129" i="18" s="1"/>
  <c r="C141" i="18" s="1"/>
  <c r="C153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P173" i="18" s="1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P65" i="18" s="1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O198" i="18"/>
  <c r="P198" i="18"/>
  <c r="O147" i="18"/>
  <c r="O51" i="18"/>
  <c r="O207" i="18"/>
  <c r="O171" i="18"/>
  <c r="P171" i="18" s="1"/>
  <c r="O211" i="18"/>
  <c r="P86" i="18"/>
  <c r="O58" i="18"/>
  <c r="O114" i="18"/>
  <c r="O166" i="18"/>
  <c r="P166" i="18" s="1"/>
  <c r="O83" i="18"/>
  <c r="P83" i="18" s="1"/>
  <c r="O203" i="18"/>
  <c r="P203" i="18" s="1"/>
  <c r="P147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57" i="18"/>
  <c r="P165" i="18"/>
  <c r="P78" i="18"/>
  <c r="G21" i="29"/>
  <c r="E31" i="29"/>
  <c r="H24" i="29"/>
  <c r="E22" i="29"/>
  <c r="G23" i="29"/>
  <c r="D21" i="29"/>
  <c r="E35" i="29"/>
  <c r="E28" i="29"/>
  <c r="G26" i="29"/>
  <c r="H29" i="29"/>
  <c r="G25" i="29"/>
  <c r="D35" i="29"/>
  <c r="D30" i="29"/>
  <c r="D28" i="29"/>
  <c r="D36" i="29"/>
  <c r="D25" i="29"/>
  <c r="H32" i="29"/>
  <c r="D29" i="29"/>
  <c r="D31" i="29"/>
  <c r="E36" i="29"/>
  <c r="G30" i="29"/>
  <c r="H33" i="29"/>
  <c r="D23" i="29"/>
  <c r="E27" i="29"/>
  <c r="H23" i="29"/>
  <c r="E30" i="29"/>
  <c r="G28" i="29"/>
  <c r="G22" i="29"/>
  <c r="D37" i="29"/>
  <c r="H36" i="29"/>
  <c r="E37" i="29"/>
  <c r="H26" i="29"/>
  <c r="H28" i="29"/>
  <c r="E23" i="29"/>
  <c r="H37" i="29"/>
  <c r="G33" i="29"/>
  <c r="H35" i="29"/>
  <c r="G37" i="29"/>
  <c r="E32" i="29"/>
  <c r="G31" i="29"/>
  <c r="G32" i="29"/>
  <c r="G36" i="29"/>
  <c r="E24" i="29"/>
  <c r="D26" i="29"/>
  <c r="E21" i="29"/>
  <c r="D24" i="29"/>
  <c r="G24" i="29"/>
  <c r="H25" i="29"/>
  <c r="H30" i="29"/>
  <c r="D33" i="29"/>
  <c r="D22" i="29"/>
  <c r="E26" i="29"/>
  <c r="E29" i="29"/>
  <c r="D27" i="29"/>
  <c r="E25" i="29"/>
  <c r="D32" i="29"/>
  <c r="H31" i="29"/>
  <c r="H22" i="29"/>
  <c r="G27" i="29"/>
  <c r="H27" i="29"/>
  <c r="G29" i="29"/>
  <c r="G35" i="29"/>
  <c r="E33" i="29"/>
  <c r="H21" i="29"/>
  <c r="C63" i="18" l="1"/>
  <c r="D53" i="18"/>
  <c r="C53" i="18"/>
  <c r="D55" i="18"/>
  <c r="D64" i="18"/>
  <c r="D76" i="18" s="1"/>
  <c r="D54" i="18"/>
  <c r="C58" i="18"/>
  <c r="C69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J38" i="29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6" i="18"/>
  <c r="D98" i="18" s="1"/>
  <c r="D110" i="18" s="1"/>
  <c r="D122" i="18" s="1"/>
  <c r="D134" i="18" s="1"/>
  <c r="D146" i="18" s="1"/>
  <c r="D158" i="18" s="1"/>
  <c r="D170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H39" i="29" s="1"/>
  <c r="F28" i="29"/>
  <c r="I28" i="29" s="1"/>
  <c r="K28" i="29" s="1"/>
  <c r="F26" i="29"/>
  <c r="I26" i="29" s="1"/>
  <c r="K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J34" i="29"/>
  <c r="J39" i="29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P101" i="18" s="1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12" i="18"/>
  <c r="P132" i="18"/>
  <c r="P155" i="18"/>
  <c r="P178" i="18"/>
  <c r="P25" i="18"/>
  <c r="P49" i="18"/>
  <c r="P73" i="18"/>
  <c r="D182" i="18" l="1"/>
  <c r="D194" i="18" s="1"/>
  <c r="D206" i="18" s="1"/>
  <c r="D177" i="18"/>
  <c r="D189" i="18" s="1"/>
  <c r="D201" i="18" s="1"/>
  <c r="E39" i="29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F39" i="29" l="1"/>
  <c r="D178" i="18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 l="1"/>
  <c r="K172" i="18" l="1"/>
  <c r="K124" i="18"/>
  <c r="K76" i="18"/>
  <c r="K207" i="18"/>
  <c r="K159" i="18"/>
  <c r="K115" i="18"/>
  <c r="K63" i="18"/>
  <c r="K186" i="18"/>
  <c r="K102" i="18"/>
  <c r="K173" i="18"/>
  <c r="K113" i="18"/>
  <c r="K199" i="18"/>
  <c r="K151" i="18"/>
  <c r="K99" i="18"/>
  <c r="K55" i="18"/>
  <c r="K126" i="18"/>
  <c r="K209" i="18"/>
  <c r="K89" i="18"/>
  <c r="K148" i="18"/>
  <c r="K183" i="18"/>
  <c r="K43" i="18"/>
  <c r="K137" i="18"/>
  <c r="K171" i="18"/>
  <c r="K79" i="18"/>
  <c r="K78" i="18"/>
  <c r="K41" i="18"/>
  <c r="K184" i="18"/>
  <c r="K88" i="18"/>
  <c r="K40" i="18"/>
  <c r="K123" i="18"/>
  <c r="K198" i="18"/>
  <c r="K197" i="18"/>
  <c r="K125" i="18"/>
  <c r="K163" i="18"/>
  <c r="K111" i="18"/>
  <c r="K67" i="18"/>
  <c r="K54" i="18"/>
  <c r="K210" i="18"/>
  <c r="K208" i="18"/>
  <c r="K160" i="18"/>
  <c r="K112" i="18"/>
  <c r="K64" i="18"/>
  <c r="K195" i="18"/>
  <c r="K147" i="18"/>
  <c r="K103" i="18"/>
  <c r="K51" i="18"/>
  <c r="K162" i="18"/>
  <c r="K66" i="18"/>
  <c r="K161" i="18"/>
  <c r="K77" i="18"/>
  <c r="K187" i="18"/>
  <c r="K135" i="18"/>
  <c r="K91" i="18"/>
  <c r="K39" i="18"/>
  <c r="K90" i="18"/>
  <c r="K185" i="18"/>
  <c r="K65" i="18"/>
  <c r="K196" i="18"/>
  <c r="K100" i="18"/>
  <c r="K52" i="18"/>
  <c r="K139" i="18"/>
  <c r="K87" i="18"/>
  <c r="K138" i="18"/>
  <c r="K42" i="18"/>
  <c r="K53" i="18"/>
  <c r="K127" i="18"/>
  <c r="K174" i="18"/>
  <c r="K149" i="18"/>
  <c r="K136" i="18"/>
  <c r="K175" i="18"/>
  <c r="K75" i="18"/>
  <c r="K114" i="18"/>
  <c r="K211" i="18"/>
  <c r="K150" i="18"/>
  <c r="K101" i="18"/>
  <c r="K31" i="18"/>
  <c r="K30" i="18"/>
  <c r="K27" i="18"/>
  <c r="E13" i="29"/>
  <c r="K29" i="18"/>
  <c r="K28" i="18"/>
  <c r="K203" i="18"/>
  <c r="K60" i="18"/>
  <c r="K121" i="18"/>
  <c r="K178" i="18"/>
  <c r="K26" i="18"/>
  <c r="K57" i="18"/>
  <c r="K83" i="18"/>
  <c r="K109" i="18"/>
  <c r="K140" i="18"/>
  <c r="K166" i="18"/>
  <c r="K192" i="18"/>
  <c r="K34" i="18"/>
  <c r="K82" i="18"/>
  <c r="K130" i="18"/>
  <c r="K182" i="18"/>
  <c r="K36" i="18"/>
  <c r="K62" i="18"/>
  <c r="K93" i="18"/>
  <c r="K119" i="18"/>
  <c r="K145" i="18"/>
  <c r="K176" i="18"/>
  <c r="K202" i="18"/>
  <c r="K33" i="18"/>
  <c r="K59" i="18"/>
  <c r="K85" i="18"/>
  <c r="K116" i="18"/>
  <c r="K142" i="18"/>
  <c r="K168" i="18"/>
  <c r="K194" i="18"/>
  <c r="K25" i="18"/>
  <c r="K204" i="18"/>
  <c r="K44" i="18"/>
  <c r="K96" i="18"/>
  <c r="K179" i="18"/>
  <c r="K56" i="18"/>
  <c r="K23" i="18"/>
  <c r="K49" i="18"/>
  <c r="K106" i="18"/>
  <c r="K189" i="18"/>
  <c r="K46" i="18"/>
  <c r="K98" i="18"/>
  <c r="K129" i="18"/>
  <c r="K181" i="18"/>
  <c r="K38" i="18"/>
  <c r="K108" i="18"/>
  <c r="K165" i="18"/>
  <c r="K22" i="18"/>
  <c r="K48" i="18"/>
  <c r="K74" i="18"/>
  <c r="K105" i="18"/>
  <c r="K131" i="18"/>
  <c r="K157" i="18"/>
  <c r="K188" i="18"/>
  <c r="K21" i="18"/>
  <c r="K69" i="18"/>
  <c r="K117" i="18"/>
  <c r="K169" i="18"/>
  <c r="K32" i="18"/>
  <c r="K58" i="18"/>
  <c r="K84" i="18"/>
  <c r="K110" i="18"/>
  <c r="K141" i="18"/>
  <c r="K167" i="18"/>
  <c r="K193" i="18"/>
  <c r="K50" i="18"/>
  <c r="K81" i="18"/>
  <c r="K107" i="18"/>
  <c r="K133" i="18"/>
  <c r="K164" i="18"/>
  <c r="K190" i="18"/>
  <c r="K73" i="18"/>
  <c r="K134" i="18"/>
  <c r="K191" i="18"/>
  <c r="K35" i="18"/>
  <c r="K61" i="18"/>
  <c r="K92" i="18"/>
  <c r="K118" i="18"/>
  <c r="K144" i="18"/>
  <c r="K170" i="18"/>
  <c r="K201" i="18"/>
  <c r="K47" i="18"/>
  <c r="K95" i="18"/>
  <c r="K143" i="18"/>
  <c r="K200" i="18"/>
  <c r="K45" i="18"/>
  <c r="K71" i="18"/>
  <c r="K97" i="18"/>
  <c r="K128" i="18"/>
  <c r="K154" i="18"/>
  <c r="K180" i="18"/>
  <c r="K206" i="18"/>
  <c r="K37" i="18"/>
  <c r="K68" i="18"/>
  <c r="K94" i="18"/>
  <c r="K120" i="18"/>
  <c r="K146" i="18"/>
  <c r="K177" i="18"/>
  <c r="K86" i="18"/>
  <c r="K152" i="18"/>
  <c r="K70" i="18"/>
  <c r="K122" i="18"/>
  <c r="K153" i="18"/>
  <c r="K205" i="18"/>
  <c r="K104" i="18"/>
  <c r="K156" i="18"/>
  <c r="K80" i="18"/>
  <c r="K132" i="18"/>
  <c r="K158" i="18"/>
  <c r="K20" i="18"/>
  <c r="K72" i="18"/>
  <c r="K155" i="18"/>
  <c r="K24" i="18"/>
  <c r="K14" i="18" l="1"/>
  <c r="K212" i="18"/>
  <c r="K13" i="18"/>
  <c r="F12" i="29" l="1"/>
  <c r="I81" i="18" l="1"/>
  <c r="J81" i="18" s="1"/>
  <c r="L81" i="18" s="1"/>
  <c r="I42" i="18"/>
  <c r="J42" i="18" s="1"/>
  <c r="L42" i="18" s="1"/>
  <c r="I36" i="18"/>
  <c r="J36" i="18" s="1"/>
  <c r="L36" i="18" s="1"/>
  <c r="I179" i="18"/>
  <c r="J179" i="18" s="1"/>
  <c r="L179" i="18" s="1"/>
  <c r="I171" i="18"/>
  <c r="J171" i="18" s="1"/>
  <c r="L171" i="18" s="1"/>
  <c r="I189" i="18"/>
  <c r="J189" i="18" s="1"/>
  <c r="L189" i="18" s="1"/>
  <c r="I134" i="18"/>
  <c r="J134" i="18" s="1"/>
  <c r="L134" i="18" s="1"/>
  <c r="I61" i="18"/>
  <c r="J61" i="18" s="1"/>
  <c r="L61" i="18" s="1"/>
  <c r="I111" i="18"/>
  <c r="J111" i="18" s="1"/>
  <c r="L111" i="18" s="1"/>
  <c r="I116" i="18"/>
  <c r="J116" i="18" s="1"/>
  <c r="L116" i="18" s="1"/>
  <c r="I92" i="18"/>
  <c r="J92" i="18" s="1"/>
  <c r="L92" i="18" s="1"/>
  <c r="I161" i="18"/>
  <c r="J161" i="18" s="1"/>
  <c r="L161" i="18" s="1"/>
  <c r="I50" i="18"/>
  <c r="J50" i="18" s="1"/>
  <c r="L50" i="18" s="1"/>
  <c r="I22" i="18"/>
  <c r="J22" i="18" s="1"/>
  <c r="L22" i="18" s="1"/>
  <c r="I57" i="18"/>
  <c r="J57" i="18" s="1"/>
  <c r="L57" i="18" s="1"/>
  <c r="I62" i="18"/>
  <c r="J62" i="18" s="1"/>
  <c r="L62" i="18" s="1"/>
  <c r="I204" i="18"/>
  <c r="J204" i="18" s="1"/>
  <c r="L204" i="18" s="1"/>
  <c r="I105" i="18"/>
  <c r="J105" i="18" s="1"/>
  <c r="L105" i="18" s="1"/>
  <c r="I193" i="18"/>
  <c r="J193" i="18" s="1"/>
  <c r="L193" i="18" s="1"/>
  <c r="I142" i="18"/>
  <c r="J142" i="18" s="1"/>
  <c r="L142" i="18" s="1"/>
  <c r="I23" i="18"/>
  <c r="J23" i="18" s="1"/>
  <c r="L23" i="18" s="1"/>
  <c r="I37" i="18"/>
  <c r="J37" i="18" s="1"/>
  <c r="L37" i="18" s="1"/>
  <c r="I32" i="18"/>
  <c r="J32" i="18" s="1"/>
  <c r="L32" i="18" s="1"/>
  <c r="I149" i="18"/>
  <c r="J149" i="18" s="1"/>
  <c r="L149" i="18" s="1"/>
  <c r="I210" i="18"/>
  <c r="J210" i="18" s="1"/>
  <c r="L210" i="18" s="1"/>
  <c r="I44" i="18"/>
  <c r="J44" i="18" s="1"/>
  <c r="L44" i="18" s="1"/>
  <c r="I67" i="18"/>
  <c r="J67" i="18" s="1"/>
  <c r="L67" i="18" s="1"/>
  <c r="I135" i="18"/>
  <c r="J135" i="18" s="1"/>
  <c r="L135" i="18" s="1"/>
  <c r="I43" i="18"/>
  <c r="J43" i="18" s="1"/>
  <c r="L43" i="18" s="1"/>
  <c r="I55" i="18"/>
  <c r="J55" i="18" s="1"/>
  <c r="L55" i="18" s="1"/>
  <c r="I172" i="18"/>
  <c r="J172" i="18" s="1"/>
  <c r="L172" i="18" s="1"/>
  <c r="I144" i="18"/>
  <c r="J144" i="18" s="1"/>
  <c r="L144" i="18" s="1"/>
  <c r="I163" i="18"/>
  <c r="J163" i="18" s="1"/>
  <c r="L163" i="18" s="1"/>
  <c r="I182" i="18"/>
  <c r="J182" i="18" s="1"/>
  <c r="L182" i="18" s="1"/>
  <c r="I85" i="18"/>
  <c r="J85" i="18" s="1"/>
  <c r="L85" i="18" s="1"/>
  <c r="I82" i="18"/>
  <c r="J82" i="18" s="1"/>
  <c r="L82" i="18" s="1"/>
  <c r="I103" i="18"/>
  <c r="J103" i="18" s="1"/>
  <c r="L103" i="18" s="1"/>
  <c r="I120" i="18"/>
  <c r="J120" i="18" s="1"/>
  <c r="L120" i="18" s="1"/>
  <c r="I73" i="18"/>
  <c r="J73" i="18" s="1"/>
  <c r="L73" i="18" s="1"/>
  <c r="I28" i="18"/>
  <c r="J28" i="18" s="1"/>
  <c r="L28" i="18" s="1"/>
  <c r="I165" i="18"/>
  <c r="J165" i="18" s="1"/>
  <c r="L165" i="18" s="1"/>
  <c r="I170" i="18"/>
  <c r="J170" i="18" s="1"/>
  <c r="L170" i="18" s="1"/>
  <c r="I147" i="18"/>
  <c r="J147" i="18" s="1"/>
  <c r="L147" i="18" s="1"/>
  <c r="I46" i="18"/>
  <c r="J46" i="18" s="1"/>
  <c r="L46" i="18" s="1"/>
  <c r="I122" i="18"/>
  <c r="J122" i="18" s="1"/>
  <c r="L122" i="18" s="1"/>
  <c r="I194" i="18"/>
  <c r="J194" i="18" s="1"/>
  <c r="L194" i="18" s="1"/>
  <c r="I211" i="18"/>
  <c r="J211" i="18" s="1"/>
  <c r="L211" i="18" s="1"/>
  <c r="I63" i="18"/>
  <c r="J63" i="18" s="1"/>
  <c r="L63" i="18" s="1"/>
  <c r="I167" i="18"/>
  <c r="J167" i="18" s="1"/>
  <c r="L167" i="18" s="1"/>
  <c r="I88" i="18"/>
  <c r="J88" i="18" s="1"/>
  <c r="L88" i="18" s="1"/>
  <c r="I141" i="18"/>
  <c r="J141" i="18" s="1"/>
  <c r="L141" i="18" s="1"/>
  <c r="I106" i="18"/>
  <c r="J106" i="18" s="1"/>
  <c r="L106" i="18" s="1"/>
  <c r="I200" i="18"/>
  <c r="J200" i="18" s="1"/>
  <c r="L200" i="18" s="1"/>
  <c r="I143" i="18"/>
  <c r="J143" i="18" s="1"/>
  <c r="L143" i="18" s="1"/>
  <c r="I114" i="18"/>
  <c r="J114" i="18" s="1"/>
  <c r="L114" i="18" s="1"/>
  <c r="I35" i="18"/>
  <c r="J35" i="18" s="1"/>
  <c r="L35" i="18" s="1"/>
  <c r="I124" i="18"/>
  <c r="J124" i="18" s="1"/>
  <c r="L124" i="18" s="1"/>
  <c r="I71" i="18"/>
  <c r="J71" i="18" s="1"/>
  <c r="L71" i="18" s="1"/>
  <c r="I191" i="18"/>
  <c r="J191" i="18" s="1"/>
  <c r="L191" i="18" s="1"/>
  <c r="I152" i="18"/>
  <c r="J152" i="18" s="1"/>
  <c r="L152" i="18" s="1"/>
  <c r="I132" i="18"/>
  <c r="J132" i="18" s="1"/>
  <c r="L132" i="18" s="1"/>
  <c r="I27" i="18"/>
  <c r="J27" i="18" s="1"/>
  <c r="L27" i="18" s="1"/>
  <c r="I49" i="18"/>
  <c r="J49" i="18" s="1"/>
  <c r="L49" i="18" s="1"/>
  <c r="I75" i="18"/>
  <c r="J75" i="18" s="1"/>
  <c r="L75" i="18" s="1"/>
  <c r="I185" i="18"/>
  <c r="J185" i="18" s="1"/>
  <c r="L185" i="18" s="1"/>
  <c r="I107" i="18"/>
  <c r="J107" i="18" s="1"/>
  <c r="L107" i="18" s="1"/>
  <c r="I41" i="18"/>
  <c r="J41" i="18" s="1"/>
  <c r="L41" i="18" s="1"/>
  <c r="I110" i="18"/>
  <c r="J110" i="18" s="1"/>
  <c r="L110" i="18" s="1"/>
  <c r="I95" i="18"/>
  <c r="J95" i="18" s="1"/>
  <c r="L95" i="18" s="1"/>
  <c r="F14" i="29"/>
  <c r="I190" i="18"/>
  <c r="J190" i="18" s="1"/>
  <c r="L190" i="18" s="1"/>
  <c r="I159" i="18"/>
  <c r="J159" i="18" s="1"/>
  <c r="L159" i="18" s="1"/>
  <c r="I207" i="18"/>
  <c r="J207" i="18" s="1"/>
  <c r="L207" i="18" s="1"/>
  <c r="I155" i="18"/>
  <c r="J155" i="18" s="1"/>
  <c r="L155" i="18" s="1"/>
  <c r="I203" i="18"/>
  <c r="J203" i="18" s="1"/>
  <c r="L203" i="18" s="1"/>
  <c r="I181" i="18"/>
  <c r="J181" i="18" s="1"/>
  <c r="L181" i="18" s="1"/>
  <c r="I208" i="18"/>
  <c r="J208" i="18" s="1"/>
  <c r="L208" i="18" s="1"/>
  <c r="I25" i="18"/>
  <c r="J25" i="18" s="1"/>
  <c r="L25" i="18" s="1"/>
  <c r="I83" i="18"/>
  <c r="J83" i="18" s="1"/>
  <c r="L83" i="18" s="1"/>
  <c r="I84" i="18"/>
  <c r="J84" i="18" s="1"/>
  <c r="L84" i="18" s="1"/>
  <c r="I131" i="18"/>
  <c r="J131" i="18" s="1"/>
  <c r="L131" i="18" s="1"/>
  <c r="I188" i="18"/>
  <c r="J188" i="18" s="1"/>
  <c r="L188" i="18" s="1"/>
  <c r="I29" i="18"/>
  <c r="J29" i="18" s="1"/>
  <c r="L29" i="18" s="1"/>
  <c r="I38" i="18"/>
  <c r="J38" i="18" s="1"/>
  <c r="L38" i="18" s="1"/>
  <c r="I195" i="18"/>
  <c r="J195" i="18" s="1"/>
  <c r="L195" i="18" s="1"/>
  <c r="I79" i="18"/>
  <c r="J79" i="18" s="1"/>
  <c r="L79" i="18" s="1"/>
  <c r="I153" i="18"/>
  <c r="J153" i="18" s="1"/>
  <c r="L153" i="18" s="1"/>
  <c r="I47" i="18"/>
  <c r="J47" i="18" s="1"/>
  <c r="L47" i="18" s="1"/>
  <c r="I66" i="18"/>
  <c r="J66" i="18" s="1"/>
  <c r="L66" i="18" s="1"/>
  <c r="I34" i="18"/>
  <c r="J34" i="18" s="1"/>
  <c r="L34" i="18" s="1"/>
  <c r="I127" i="18"/>
  <c r="J127" i="18" s="1"/>
  <c r="L127" i="18" s="1"/>
  <c r="I196" i="18"/>
  <c r="J196" i="18" s="1"/>
  <c r="L196" i="18" s="1"/>
  <c r="I146" i="18"/>
  <c r="J146" i="18" s="1"/>
  <c r="L146" i="18" s="1"/>
  <c r="I158" i="18"/>
  <c r="J158" i="18" s="1"/>
  <c r="L158" i="18" s="1"/>
  <c r="I52" i="18"/>
  <c r="J52" i="18" s="1"/>
  <c r="L52" i="18" s="1"/>
  <c r="I205" i="18"/>
  <c r="J205" i="18" s="1"/>
  <c r="L205" i="18" s="1"/>
  <c r="I206" i="18"/>
  <c r="J206" i="18" s="1"/>
  <c r="L206" i="18" s="1"/>
  <c r="I94" i="18"/>
  <c r="J94" i="18" s="1"/>
  <c r="L94" i="18" s="1"/>
  <c r="I140" i="18"/>
  <c r="J140" i="18" s="1"/>
  <c r="L140" i="18" s="1"/>
  <c r="I80" i="18"/>
  <c r="J80" i="18" s="1"/>
  <c r="L80" i="18" s="1"/>
  <c r="I76" i="18"/>
  <c r="J76" i="18" s="1"/>
  <c r="L76" i="18" s="1"/>
  <c r="I97" i="18"/>
  <c r="J97" i="18" s="1"/>
  <c r="L97" i="18" s="1"/>
  <c r="I31" i="18"/>
  <c r="J31" i="18" s="1"/>
  <c r="L31" i="18" s="1"/>
  <c r="I176" i="18"/>
  <c r="J176" i="18" s="1"/>
  <c r="L176" i="18" s="1"/>
  <c r="I98" i="18"/>
  <c r="J98" i="18" s="1"/>
  <c r="L98" i="18" s="1"/>
  <c r="I117" i="18"/>
  <c r="J117" i="18" s="1"/>
  <c r="L117" i="18" s="1"/>
  <c r="I184" i="18"/>
  <c r="J184" i="18" s="1"/>
  <c r="L184" i="18" s="1"/>
  <c r="I89" i="18"/>
  <c r="J89" i="18" s="1"/>
  <c r="L89" i="18" s="1"/>
  <c r="I175" i="18"/>
  <c r="J175" i="18" s="1"/>
  <c r="L175" i="18" s="1"/>
  <c r="I54" i="18"/>
  <c r="J54" i="18" s="1"/>
  <c r="L54" i="18" s="1"/>
  <c r="I59" i="18"/>
  <c r="J59" i="18" s="1"/>
  <c r="L59" i="18" s="1"/>
  <c r="I77" i="18"/>
  <c r="J77" i="18" s="1"/>
  <c r="L77" i="18" s="1"/>
  <c r="I180" i="18"/>
  <c r="J180" i="18" s="1"/>
  <c r="L180" i="18" s="1"/>
  <c r="I199" i="18"/>
  <c r="J199" i="18" s="1"/>
  <c r="L199" i="18" s="1"/>
  <c r="I133" i="18"/>
  <c r="J133" i="18" s="1"/>
  <c r="L133" i="18" s="1"/>
  <c r="I99" i="18"/>
  <c r="J99" i="18" s="1"/>
  <c r="L99" i="18" s="1"/>
  <c r="I178" i="18"/>
  <c r="J178" i="18" s="1"/>
  <c r="L178" i="18" s="1"/>
  <c r="I162" i="18"/>
  <c r="J162" i="18" s="1"/>
  <c r="L162" i="18" s="1"/>
  <c r="I60" i="18"/>
  <c r="J60" i="18" s="1"/>
  <c r="L60" i="18" s="1"/>
  <c r="I177" i="18"/>
  <c r="J177" i="18" s="1"/>
  <c r="L177" i="18" s="1"/>
  <c r="I51" i="18"/>
  <c r="J51" i="18" s="1"/>
  <c r="L51" i="18" s="1"/>
  <c r="I69" i="18"/>
  <c r="J69" i="18" s="1"/>
  <c r="L69" i="18" s="1"/>
  <c r="I102" i="18"/>
  <c r="J102" i="18" s="1"/>
  <c r="L102" i="18" s="1"/>
  <c r="I173" i="18"/>
  <c r="J173" i="18" s="1"/>
  <c r="L173" i="18" s="1"/>
  <c r="I148" i="18"/>
  <c r="J148" i="18" s="1"/>
  <c r="L148" i="18" s="1"/>
  <c r="I56" i="18"/>
  <c r="J56" i="18" s="1"/>
  <c r="I197" i="18"/>
  <c r="J197" i="18" s="1"/>
  <c r="L197" i="18" s="1"/>
  <c r="I138" i="18"/>
  <c r="J138" i="18" s="1"/>
  <c r="L138" i="18" s="1"/>
  <c r="I174" i="18"/>
  <c r="J174" i="18" s="1"/>
  <c r="L174" i="18" s="1"/>
  <c r="I198" i="18"/>
  <c r="J198" i="18" s="1"/>
  <c r="L198" i="18" s="1"/>
  <c r="I112" i="18"/>
  <c r="J112" i="18" s="1"/>
  <c r="L112" i="18" s="1"/>
  <c r="I65" i="18"/>
  <c r="J65" i="18" s="1"/>
  <c r="L65" i="18" s="1"/>
  <c r="I72" i="18"/>
  <c r="J72" i="18" s="1"/>
  <c r="L72" i="18" s="1"/>
  <c r="I125" i="18"/>
  <c r="J125" i="18" s="1"/>
  <c r="L125" i="18" s="1"/>
  <c r="I202" i="18"/>
  <c r="J202" i="18" s="1"/>
  <c r="L202" i="18" s="1"/>
  <c r="I74" i="18"/>
  <c r="J74" i="18" s="1"/>
  <c r="L74" i="18" s="1"/>
  <c r="I33" i="18"/>
  <c r="J33" i="18" s="1"/>
  <c r="L33" i="18" s="1"/>
  <c r="I90" i="18"/>
  <c r="J90" i="18" s="1"/>
  <c r="L90" i="18" s="1"/>
  <c r="I78" i="18"/>
  <c r="J78" i="18" s="1"/>
  <c r="L78" i="18" s="1"/>
  <c r="I20" i="18"/>
  <c r="J20" i="18" s="1"/>
  <c r="I119" i="18"/>
  <c r="J119" i="18" s="1"/>
  <c r="L119" i="18" s="1"/>
  <c r="I168" i="18"/>
  <c r="J168" i="18" s="1"/>
  <c r="L168" i="18" s="1"/>
  <c r="I156" i="18"/>
  <c r="J156" i="18" s="1"/>
  <c r="L156" i="18" s="1"/>
  <c r="I30" i="18"/>
  <c r="J30" i="18" s="1"/>
  <c r="L30" i="18" s="1"/>
  <c r="I183" i="18"/>
  <c r="J183" i="18" s="1"/>
  <c r="L183" i="18" s="1"/>
  <c r="I192" i="18"/>
  <c r="J192" i="18" s="1"/>
  <c r="L192" i="18" s="1"/>
  <c r="I39" i="18"/>
  <c r="J39" i="18" s="1"/>
  <c r="L39" i="18" s="1"/>
  <c r="I104" i="18"/>
  <c r="J104" i="18" s="1"/>
  <c r="L104" i="18" s="1"/>
  <c r="I108" i="18"/>
  <c r="J108" i="18" s="1"/>
  <c r="L108" i="18" s="1"/>
  <c r="I187" i="18"/>
  <c r="J187" i="18" s="1"/>
  <c r="L187" i="18" s="1"/>
  <c r="I137" i="18"/>
  <c r="J137" i="18" s="1"/>
  <c r="L137" i="18" s="1"/>
  <c r="I157" i="18"/>
  <c r="J157" i="18" s="1"/>
  <c r="L157" i="18" s="1"/>
  <c r="I68" i="18"/>
  <c r="J68" i="18" s="1"/>
  <c r="L68" i="18" s="1"/>
  <c r="I53" i="18"/>
  <c r="J53" i="18" s="1"/>
  <c r="L53" i="18" s="1"/>
  <c r="I113" i="18"/>
  <c r="J113" i="18" s="1"/>
  <c r="L113" i="18" s="1"/>
  <c r="I129" i="18"/>
  <c r="J129" i="18" s="1"/>
  <c r="L129" i="18" s="1"/>
  <c r="I151" i="18"/>
  <c r="J151" i="18" s="1"/>
  <c r="L151" i="18" s="1"/>
  <c r="I48" i="18"/>
  <c r="J48" i="18" s="1"/>
  <c r="L48" i="18" s="1"/>
  <c r="I26" i="18"/>
  <c r="J26" i="18" s="1"/>
  <c r="L26" i="18" s="1"/>
  <c r="I21" i="18"/>
  <c r="J21" i="18" s="1"/>
  <c r="L21" i="18" s="1"/>
  <c r="I118" i="18"/>
  <c r="J118" i="18" s="1"/>
  <c r="L118" i="18" s="1"/>
  <c r="I100" i="18"/>
  <c r="J100" i="18" s="1"/>
  <c r="L100" i="18" s="1"/>
  <c r="I145" i="18"/>
  <c r="J145" i="18" s="1"/>
  <c r="L145" i="18" s="1"/>
  <c r="I121" i="18"/>
  <c r="J121" i="18" s="1"/>
  <c r="L121" i="18" s="1"/>
  <c r="I123" i="18"/>
  <c r="J123" i="18" s="1"/>
  <c r="L123" i="18" s="1"/>
  <c r="I209" i="18"/>
  <c r="J209" i="18" s="1"/>
  <c r="L209" i="18" s="1"/>
  <c r="I201" i="18"/>
  <c r="J201" i="18" s="1"/>
  <c r="L201" i="18" s="1"/>
  <c r="I24" i="18"/>
  <c r="J24" i="18" s="1"/>
  <c r="L24" i="18" s="1"/>
  <c r="I93" i="18"/>
  <c r="J93" i="18" s="1"/>
  <c r="L93" i="18" s="1"/>
  <c r="I139" i="18"/>
  <c r="J139" i="18" s="1"/>
  <c r="L139" i="18" s="1"/>
  <c r="I101" i="18"/>
  <c r="J101" i="18" s="1"/>
  <c r="L101" i="18" s="1"/>
  <c r="I70" i="18"/>
  <c r="J70" i="18" s="1"/>
  <c r="L70" i="18" s="1"/>
  <c r="I64" i="18"/>
  <c r="J64" i="18" s="1"/>
  <c r="L64" i="18" s="1"/>
  <c r="I58" i="18"/>
  <c r="J58" i="18" s="1"/>
  <c r="L58" i="18" s="1"/>
  <c r="I91" i="18"/>
  <c r="J91" i="18" s="1"/>
  <c r="L91" i="18" s="1"/>
  <c r="I87" i="18"/>
  <c r="J87" i="18" s="1"/>
  <c r="L87" i="18" s="1"/>
  <c r="I86" i="18"/>
  <c r="J86" i="18" s="1"/>
  <c r="L86" i="18" s="1"/>
  <c r="I186" i="18"/>
  <c r="J186" i="18" s="1"/>
  <c r="L186" i="18" s="1"/>
  <c r="I128" i="18"/>
  <c r="J128" i="18" s="1"/>
  <c r="L128" i="18" s="1"/>
  <c r="I160" i="18"/>
  <c r="J160" i="18" s="1"/>
  <c r="L160" i="18" s="1"/>
  <c r="I115" i="18"/>
  <c r="J115" i="18" s="1"/>
  <c r="L115" i="18" s="1"/>
  <c r="I130" i="18"/>
  <c r="J130" i="18" s="1"/>
  <c r="L130" i="18" s="1"/>
  <c r="I136" i="18"/>
  <c r="J136" i="18" s="1"/>
  <c r="L136" i="18" s="1"/>
  <c r="I40" i="18"/>
  <c r="J40" i="18" s="1"/>
  <c r="L40" i="18" s="1"/>
  <c r="I109" i="18"/>
  <c r="J109" i="18" s="1"/>
  <c r="L109" i="18" s="1"/>
  <c r="I166" i="18"/>
  <c r="J166" i="18" s="1"/>
  <c r="L166" i="18" s="1"/>
  <c r="I169" i="18"/>
  <c r="J169" i="18" s="1"/>
  <c r="L169" i="18" s="1"/>
  <c r="I96" i="18"/>
  <c r="J96" i="18" s="1"/>
  <c r="L96" i="18" s="1"/>
  <c r="I164" i="18"/>
  <c r="J164" i="18" s="1"/>
  <c r="L164" i="18" s="1"/>
  <c r="I45" i="18"/>
  <c r="J45" i="18" s="1"/>
  <c r="L45" i="18" s="1"/>
  <c r="I126" i="18"/>
  <c r="J126" i="18" s="1"/>
  <c r="L126" i="18" s="1"/>
  <c r="I150" i="18"/>
  <c r="J150" i="18" s="1"/>
  <c r="L150" i="18" s="1"/>
  <c r="I154" i="18"/>
  <c r="J154" i="18" s="1"/>
  <c r="L154" i="18" s="1"/>
  <c r="L56" i="18" l="1"/>
  <c r="J13" i="18"/>
  <c r="J212" i="18"/>
  <c r="J14" i="18"/>
  <c r="L20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81" i="18"/>
  <c r="N181" i="18" s="1"/>
  <c r="R181" i="18" s="1"/>
  <c r="M69" i="18"/>
  <c r="N69" i="18" s="1"/>
  <c r="R69" i="18" s="1"/>
  <c r="M183" i="18"/>
  <c r="N183" i="18" s="1"/>
  <c r="R183" i="18" s="1"/>
  <c r="M86" i="18"/>
  <c r="N86" i="18" s="1"/>
  <c r="R86" i="18" s="1"/>
  <c r="M85" i="18"/>
  <c r="N85" i="18" s="1"/>
  <c r="R85" i="18" s="1"/>
  <c r="M171" i="18"/>
  <c r="N171" i="18" s="1"/>
  <c r="R171" i="18" s="1"/>
  <c r="M87" i="18"/>
  <c r="N87" i="18" s="1"/>
  <c r="R87" i="18" s="1"/>
  <c r="M93" i="18"/>
  <c r="N93" i="18" s="1"/>
  <c r="R93" i="18" s="1"/>
  <c r="M105" i="18"/>
  <c r="N105" i="18" s="1"/>
  <c r="R105" i="18" s="1"/>
  <c r="M99" i="18"/>
  <c r="N99" i="18" s="1"/>
  <c r="R99" i="18" s="1"/>
  <c r="M138" i="18"/>
  <c r="N138" i="18" s="1"/>
  <c r="R138" i="18" s="1"/>
  <c r="M144" i="18"/>
  <c r="N144" i="18" s="1"/>
  <c r="R144" i="18" s="1"/>
  <c r="M111" i="18"/>
  <c r="N111" i="18" s="1"/>
  <c r="R111" i="18" s="1"/>
  <c r="M71" i="18"/>
  <c r="N71" i="18" s="1"/>
  <c r="R71" i="18" s="1"/>
  <c r="M163" i="18"/>
  <c r="N163" i="18" s="1"/>
  <c r="R163" i="18" s="1"/>
  <c r="M49" i="18"/>
  <c r="N49" i="18" s="1"/>
  <c r="R49" i="18" s="1"/>
  <c r="M44" i="18"/>
  <c r="N44" i="18" s="1"/>
  <c r="R44" i="18" s="1"/>
  <c r="M70" i="18"/>
  <c r="N70" i="18" s="1"/>
  <c r="R70" i="18" s="1"/>
  <c r="M67" i="18"/>
  <c r="N67" i="18" s="1"/>
  <c r="R67" i="18" s="1"/>
  <c r="M76" i="18"/>
  <c r="N76" i="18" s="1"/>
  <c r="R76" i="18" s="1"/>
  <c r="M91" i="18"/>
  <c r="N91" i="18" s="1"/>
  <c r="R91" i="18" s="1"/>
  <c r="M63" i="18"/>
  <c r="N63" i="18" s="1"/>
  <c r="R63" i="18" s="1"/>
  <c r="M208" i="18"/>
  <c r="N208" i="18" s="1"/>
  <c r="R208" i="18" s="1"/>
  <c r="M195" i="18"/>
  <c r="N195" i="18" s="1"/>
  <c r="R195" i="18" s="1"/>
  <c r="M74" i="18"/>
  <c r="N74" i="18" s="1"/>
  <c r="R74" i="18" s="1"/>
  <c r="M139" i="18"/>
  <c r="N139" i="18" s="1"/>
  <c r="R139" i="18" s="1"/>
  <c r="M90" i="18"/>
  <c r="N90" i="18" s="1"/>
  <c r="R90" i="18" s="1"/>
  <c r="M153" i="18"/>
  <c r="N153" i="18" s="1"/>
  <c r="R153" i="18" s="1"/>
  <c r="M29" i="18"/>
  <c r="N29" i="18" s="1"/>
  <c r="R29" i="18" s="1"/>
  <c r="M79" i="18"/>
  <c r="N79" i="18" s="1"/>
  <c r="R79" i="18" s="1"/>
  <c r="M84" i="18"/>
  <c r="N84" i="18" s="1"/>
  <c r="R84" i="18" s="1"/>
  <c r="M96" i="18"/>
  <c r="N96" i="18" s="1"/>
  <c r="R96" i="18" s="1"/>
  <c r="M23" i="18"/>
  <c r="N23" i="18" s="1"/>
  <c r="R23" i="18" s="1"/>
  <c r="M50" i="18"/>
  <c r="N50" i="18" s="1"/>
  <c r="R50" i="18" s="1"/>
  <c r="M188" i="18"/>
  <c r="N188" i="18" s="1"/>
  <c r="R188" i="18" s="1"/>
  <c r="M24" i="18"/>
  <c r="N24" i="18" s="1"/>
  <c r="R24" i="18" s="1"/>
  <c r="M209" i="18"/>
  <c r="N209" i="18" s="1"/>
  <c r="R209" i="18" s="1"/>
  <c r="M54" i="18"/>
  <c r="N54" i="18" s="1"/>
  <c r="R54" i="18" s="1"/>
  <c r="M34" i="18"/>
  <c r="N34" i="18" s="1"/>
  <c r="R34" i="18" s="1"/>
  <c r="M201" i="18"/>
  <c r="N201" i="18" s="1"/>
  <c r="R201" i="18" s="1"/>
  <c r="M182" i="18"/>
  <c r="N182" i="18" s="1"/>
  <c r="R182" i="18" s="1"/>
  <c r="M121" i="18"/>
  <c r="N121" i="18" s="1"/>
  <c r="R121" i="18" s="1"/>
  <c r="M77" i="18"/>
  <c r="N77" i="18" s="1"/>
  <c r="R77" i="18" s="1"/>
  <c r="M162" i="18"/>
  <c r="N162" i="18" s="1"/>
  <c r="R162" i="18" s="1"/>
  <c r="M55" i="18"/>
  <c r="N55" i="18" s="1"/>
  <c r="R55" i="18" s="1"/>
  <c r="M166" i="18"/>
  <c r="N166" i="18" s="1"/>
  <c r="R166" i="18" s="1"/>
  <c r="M190" i="18"/>
  <c r="N190" i="18" s="1"/>
  <c r="R190" i="18" s="1"/>
  <c r="M31" i="18"/>
  <c r="N31" i="18" s="1"/>
  <c r="R31" i="18" s="1"/>
  <c r="M32" i="18"/>
  <c r="N32" i="18" s="1"/>
  <c r="R32" i="18" s="1"/>
  <c r="M118" i="18"/>
  <c r="N118" i="18" s="1"/>
  <c r="R118" i="18" s="1"/>
  <c r="M108" i="18"/>
  <c r="N108" i="18" s="1"/>
  <c r="R108" i="18" s="1"/>
  <c r="M179" i="18"/>
  <c r="N179" i="18" s="1"/>
  <c r="R179" i="18" s="1"/>
  <c r="M151" i="18"/>
  <c r="N151" i="18" s="1"/>
  <c r="R151" i="18" s="1"/>
  <c r="M33" i="18"/>
  <c r="N33" i="18" s="1"/>
  <c r="R33" i="18" s="1"/>
  <c r="M156" i="18"/>
  <c r="N156" i="18" s="1"/>
  <c r="R156" i="18" s="1"/>
  <c r="M81" i="18"/>
  <c r="N81" i="18" s="1"/>
  <c r="R81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80" i="18"/>
  <c r="N80" i="18" s="1"/>
  <c r="R80" i="18" s="1"/>
  <c r="M154" i="18"/>
  <c r="N154" i="18" s="1"/>
  <c r="R154" i="18" s="1"/>
  <c r="M43" i="18"/>
  <c r="N43" i="18" s="1"/>
  <c r="R43" i="18" s="1"/>
  <c r="M167" i="18"/>
  <c r="N167" i="18" s="1"/>
  <c r="R167" i="18" s="1"/>
  <c r="M202" i="18"/>
  <c r="N202" i="18" s="1"/>
  <c r="R202" i="18" s="1"/>
  <c r="M36" i="18"/>
  <c r="N36" i="18" s="1"/>
  <c r="R36" i="18" s="1"/>
  <c r="M47" i="18"/>
  <c r="N47" i="18" s="1"/>
  <c r="R47" i="18" s="1"/>
  <c r="M89" i="18"/>
  <c r="N89" i="18" s="1"/>
  <c r="R89" i="18" s="1"/>
  <c r="M53" i="18"/>
  <c r="N53" i="18" s="1"/>
  <c r="R53" i="18" s="1"/>
  <c r="M147" i="18"/>
  <c r="N147" i="18" s="1"/>
  <c r="R147" i="18" s="1"/>
  <c r="M116" i="18"/>
  <c r="N116" i="18" s="1"/>
  <c r="R116" i="18" s="1"/>
  <c r="M152" i="18"/>
  <c r="N152" i="18" s="1"/>
  <c r="R152" i="18" s="1"/>
  <c r="M57" i="18"/>
  <c r="N57" i="18" s="1"/>
  <c r="R57" i="18" s="1"/>
  <c r="M39" i="18"/>
  <c r="N39" i="18" s="1"/>
  <c r="R39" i="18" s="1"/>
  <c r="M158" i="18"/>
  <c r="N158" i="18" s="1"/>
  <c r="R158" i="18" s="1"/>
  <c r="M61" i="18"/>
  <c r="N61" i="18" s="1"/>
  <c r="R61" i="18" s="1"/>
  <c r="M28" i="18"/>
  <c r="N28" i="18" s="1"/>
  <c r="R28" i="18" s="1"/>
  <c r="M168" i="18"/>
  <c r="N168" i="18" s="1"/>
  <c r="R168" i="18" s="1"/>
  <c r="M66" i="18"/>
  <c r="N66" i="18" s="1"/>
  <c r="R66" i="18" s="1"/>
  <c r="M38" i="18"/>
  <c r="N38" i="18" s="1"/>
  <c r="R38" i="18" s="1"/>
  <c r="M176" i="18"/>
  <c r="N176" i="18" s="1"/>
  <c r="R176" i="18" s="1"/>
  <c r="M119" i="18"/>
  <c r="N119" i="18" s="1"/>
  <c r="R119" i="18" s="1"/>
  <c r="M186" i="18"/>
  <c r="N186" i="18" s="1"/>
  <c r="R186" i="18" s="1"/>
  <c r="M60" i="18"/>
  <c r="N60" i="18" s="1"/>
  <c r="R60" i="18" s="1"/>
  <c r="M25" i="18"/>
  <c r="N25" i="18" s="1"/>
  <c r="R25" i="18" s="1"/>
  <c r="M20" i="18"/>
  <c r="M101" i="18"/>
  <c r="N101" i="18" s="1"/>
  <c r="R101" i="18" s="1"/>
  <c r="M189" i="18"/>
  <c r="N189" i="18" s="1"/>
  <c r="R189" i="18" s="1"/>
  <c r="M48" i="18"/>
  <c r="N48" i="18" s="1"/>
  <c r="R48" i="18" s="1"/>
  <c r="M177" i="18"/>
  <c r="N177" i="18" s="1"/>
  <c r="R177" i="18" s="1"/>
  <c r="M22" i="18"/>
  <c r="N22" i="18" s="1"/>
  <c r="R22" i="18" s="1"/>
  <c r="M30" i="18"/>
  <c r="N30" i="18" s="1"/>
  <c r="R30" i="18" s="1"/>
  <c r="M130" i="18"/>
  <c r="N130" i="18" s="1"/>
  <c r="R130" i="18" s="1"/>
  <c r="M110" i="18"/>
  <c r="N110" i="18" s="1"/>
  <c r="R110" i="18" s="1"/>
  <c r="M42" i="18"/>
  <c r="N42" i="18" s="1"/>
  <c r="R42" i="18" s="1"/>
  <c r="M127" i="18"/>
  <c r="N127" i="18" s="1"/>
  <c r="R127" i="18" s="1"/>
  <c r="M59" i="18"/>
  <c r="N59" i="18" s="1"/>
  <c r="R59" i="18" s="1"/>
  <c r="M203" i="18"/>
  <c r="N203" i="18" s="1"/>
  <c r="R203" i="18" s="1"/>
  <c r="M104" i="18"/>
  <c r="N104" i="18" s="1"/>
  <c r="R104" i="18" s="1"/>
  <c r="M51" i="18"/>
  <c r="N51" i="18" s="1"/>
  <c r="R51" i="18" s="1"/>
  <c r="M128" i="18"/>
  <c r="N128" i="18" s="1"/>
  <c r="R128" i="18" s="1"/>
  <c r="M46" i="18"/>
  <c r="N46" i="18" s="1"/>
  <c r="R46" i="18" s="1"/>
  <c r="M141" i="18"/>
  <c r="N141" i="18" s="1"/>
  <c r="R141" i="18" s="1"/>
  <c r="M142" i="18"/>
  <c r="N142" i="18" s="1"/>
  <c r="R142" i="18" s="1"/>
  <c r="M193" i="18"/>
  <c r="N193" i="18" s="1"/>
  <c r="R193" i="18" s="1"/>
  <c r="M106" i="18"/>
  <c r="N106" i="18" s="1"/>
  <c r="R106" i="18" s="1"/>
  <c r="M62" i="18"/>
  <c r="N62" i="18" s="1"/>
  <c r="R62" i="18" s="1"/>
  <c r="M131" i="18"/>
  <c r="N131" i="18" s="1"/>
  <c r="R131" i="18" s="1"/>
  <c r="M175" i="18"/>
  <c r="N175" i="18" s="1"/>
  <c r="R175" i="18" s="1"/>
  <c r="M100" i="18"/>
  <c r="N100" i="18" s="1"/>
  <c r="R100" i="18" s="1"/>
  <c r="M205" i="18"/>
  <c r="N205" i="18" s="1"/>
  <c r="R205" i="18" s="1"/>
  <c r="M52" i="18"/>
  <c r="N52" i="18" s="1"/>
  <c r="R52" i="18" s="1"/>
  <c r="M159" i="18"/>
  <c r="N159" i="18" s="1"/>
  <c r="R159" i="18" s="1"/>
  <c r="M123" i="18"/>
  <c r="N123" i="18" s="1"/>
  <c r="R123" i="18" s="1"/>
  <c r="M212" i="18" l="1"/>
  <c r="N20" i="18"/>
  <c r="M13" i="18"/>
  <c r="N56" i="18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<sst xmlns="http://schemas.openxmlformats.org/spreadsheetml/2006/main" count="422" uniqueCount="104">
  <si>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</si>
  <si>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</si>
  <si>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</si>
  <si>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</si>
  <si>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</si>
  <si>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</si>
  <si>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</si>
  <si>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</si>
  <si>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</si>
  <si>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</si>
  <si>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</si>
  <si>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</si>
  <si>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</si>
  <si>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</si>
  <si>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</si>
  <si>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</si>
  <si>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</si>
  <si>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</si>
  <si>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</si>
  <si>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</si>
  <si>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</si>
  <si>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</si>
  <si>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</si>
  <si>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</si>
  <si>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</si>
  <si>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</si>
  <si>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</si>
  <si>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</si>
  <si>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</si>
  <si>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</si>
  <si>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</si>
  <si>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</si>
  <si>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</si>
  <si>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</si>
  <si>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</si>
  <si>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</si>
  <si>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</si>
  <si>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</si>
  <si>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</si>
  <si>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</si>
  <si>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</si>
  <si>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</si>
  <si>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</si>
  <si>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</si>
  <si>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</si>
  <si>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</si>
  <si>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</si>
  <si>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</si>
  <si>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</si>
  <si>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</si>
  <si>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</si>
  <si>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</si>
  <si>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</si>
  <si>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</si>
  <si>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</si>
  <si>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</si>
  <si>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</si>
  <si>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</si>
  <si>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</si>
  <si>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</si>
  <si>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</si>
  <si>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</si>
  <si>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</si>
  <si>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</si>
  <si>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</si>
  <si>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</si>
  <si>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</si>
  <si>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</si>
  <si>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</si>
  <si>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</si>
  <si>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</si>
  <si>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</si>
  <si>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</si>
  <si>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</si>
  <si>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</si>
  <si>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</si>
  <si>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</si>
  <si>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</si>
  <si>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</si>
  <si>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</si>
  <si>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</si>
  <si>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</si>
  <si>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</si>
  <si>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</si>
  <si>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</si>
  <si>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</si>
  <si>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</si>
  <si>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</si>
  <si>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</si>
  <si>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</si>
  <si>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</si>
  <si>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</si>
  <si>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</si>
  <si>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</si>
  <si>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</si>
  <si>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</si>
  <si>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</si>
  <si>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</si>
  <si>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</si>
  <si>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</si>
  <si>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</si>
  <si>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Total NITS Surcharge / Refund</t>
  </si>
  <si>
    <t>Network Customer True-Up (Schedule 1 charges)</t>
  </si>
  <si>
    <t>2020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</si>
</sst>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quotePrefix="1" applyFont="1" applyBorder="1" applyAlignment="1" applyProtection="1">
      <alignment horizontal="center" vertical="center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167" fontId="7" fillId="6" borderId="26" xfId="0" applyNumberFormat="1" applyFont="1" applyFill="1" applyBorder="1" applyAlignment="1" applyProtection="1">
      <alignment horizontal="center"/>
    </xf>
    <xf numFmtId="164" fontId="4" fillId="7" borderId="24" xfId="0" quotePrefix="1" applyNumberFormat="1" applyFont="1" applyFill="1" applyBorder="1" applyAlignment="1" applyProtection="1">
      <alignment horizontal="center" vertical="center" wrapText="1"/>
    </xf>
    <xf numFmtId="164" fontId="5" fillId="7" borderId="0" xfId="0" applyNumberFormat="1" applyFont="1" applyFill="1" applyBorder="1" applyAlignment="1" applyProtection="1">
      <alignment horizontal="center"/>
    </xf>
    <xf numFmtId="0" fontId="4" fillId="7" borderId="24" xfId="0" applyFont="1" applyFill="1" applyBorder="1" applyAlignment="1" applyProtection="1">
      <alignment horizontal="center" vertical="center"/>
    </xf>
    <xf numFmtId="164" fontId="4" fillId="7" borderId="14" xfId="0" quotePrefix="1" applyNumberFormat="1" applyFont="1" applyFill="1" applyBorder="1" applyAlignment="1" applyProtection="1">
      <alignment horizontal="center" wrapText="1"/>
    </xf>
    <xf numFmtId="164" fontId="4" fillId="8" borderId="14" xfId="0" quotePrefix="1" applyNumberFormat="1" applyFont="1" applyFill="1" applyBorder="1" applyAlignment="1" applyProtection="1">
      <alignment horizont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08.71782928241" createdVersion="6" refreshedVersion="7" recordCount="192" xr:uid="{00000000-000A-0000-FFFF-FFFF9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3.7029508747261031" maxValue="3.7029508747261031"/>
    </cacheField>
    <cacheField name="Actual True-Up Rate" numFmtId="164">
      <sharedItems containsSemiMixedTypes="0" containsString="0" containsNumber="1" minValue="6.1637282811749872" maxValue="6.1637282811749872"/>
    </cacheField>
    <cacheField name="True-Up Charge" numFmtId="164">
      <sharedItems containsSemiMixedTypes="0" containsString="0" containsNumber="1" minValue="6.1637282811749872" maxValue="24833.661244854022"/>
    </cacheField>
    <cacheField name="Invoiced*** Charge (proj.)" numFmtId="164">
      <sharedItems containsSemiMixedTypes="0" containsString="0" containsNumber="1" minValue="3.7029508747261031" maxValue="14919.18907427147"/>
    </cacheField>
    <cacheField name="True-Up w/o Interest" numFmtId="164">
      <sharedItems containsSemiMixedTypes="0" containsString="0" containsNumber="1" minValue="2.4607774064488841" maxValue="9914.4721705825523"/>
    </cacheField>
    <cacheField name="Interest" numFmtId="164">
      <sharedItems containsSemiMixedTypes="0" containsString="0" containsNumber="1" minValue="7.8450816618374428E-2" maxValue="316.07834015543057"/>
    </cacheField>
    <cacheField name="2020 True Up Including Interest" numFmtId="164">
      <sharedItems containsSemiMixedTypes="0" containsString="0" containsNumber="1" minValue="2.5392282230672585" maxValue="10230.55051073798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2.5392282230672585" maxValue="10230.5505107379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3.7029508747261031"/>
    <n v="6.1637282811749872"/>
    <n v="15631.214921059767"/>
    <n v="9390.6834183053979"/>
    <n v="6240.5315027543693"/>
    <n v="198.95127094419755"/>
    <n v="6439.4827736985671"/>
    <n v="0"/>
    <n v="0"/>
    <n v="0"/>
    <n v="6439.4827736985671"/>
  </r>
  <r>
    <x v="1"/>
    <d v="2021-03-03T00:00:00"/>
    <d v="2021-03-24T00:00:00"/>
    <x v="0"/>
    <n v="9"/>
    <n v="2976"/>
    <n v="3.7029508747261031"/>
    <n v="6.1637282811749872"/>
    <n v="18343.255364776764"/>
    <n v="11019.981803184883"/>
    <n v="7323.2735615918809"/>
    <n v="233.46963025628233"/>
    <n v="7556.7431918481634"/>
    <n v="0"/>
    <n v="0"/>
    <n v="0"/>
    <n v="7556.7431918481634"/>
  </r>
  <r>
    <x v="2"/>
    <d v="2021-04-05T00:00:00"/>
    <d v="2021-04-26T00:00:00"/>
    <x v="0"/>
    <n v="9"/>
    <n v="2203"/>
    <n v="3.7029508747261031"/>
    <n v="6.1637282811749872"/>
    <n v="13578.693403428497"/>
    <n v="8157.6007770216047"/>
    <n v="5421.0926264068921"/>
    <n v="172.82714901027887"/>
    <n v="5593.919775417171"/>
    <n v="0"/>
    <n v="0"/>
    <n v="0"/>
    <n v="5593.919775417171"/>
  </r>
  <r>
    <x v="3"/>
    <d v="2021-05-05T00:00:00"/>
    <d v="2021-05-24T00:00:00"/>
    <x v="0"/>
    <n v="9"/>
    <n v="2146"/>
    <n v="3.7029508747261031"/>
    <n v="6.1637282811749872"/>
    <n v="13227.360891401522"/>
    <n v="7946.5325771622174"/>
    <n v="5280.8283142393047"/>
    <n v="168.35545246303153"/>
    <n v="5449.1837667023365"/>
    <n v="0"/>
    <n v="0"/>
    <n v="0"/>
    <n v="5449.1837667023365"/>
  </r>
  <r>
    <x v="4"/>
    <d v="2021-06-03T00:00:00"/>
    <d v="2021-06-24T00:00:00"/>
    <x v="0"/>
    <n v="9"/>
    <n v="2961"/>
    <n v="3.7029508747261031"/>
    <n v="6.1637282811749872"/>
    <n v="18250.799440559138"/>
    <n v="10964.437540063991"/>
    <n v="7286.361900495147"/>
    <n v="232.29286800700669"/>
    <n v="7518.6547685021533"/>
    <n v="0"/>
    <n v="0"/>
    <n v="0"/>
    <n v="7518.6547685021533"/>
  </r>
  <r>
    <x v="5"/>
    <d v="2021-07-06T00:00:00"/>
    <d v="2021-07-24T00:00:00"/>
    <x v="0"/>
    <n v="9"/>
    <n v="3827"/>
    <n v="3.7029508747261031"/>
    <n v="6.1637282811749872"/>
    <n v="23588.588132056677"/>
    <n v="14171.192997576796"/>
    <n v="9417.3951344798807"/>
    <n v="300.23127519851892"/>
    <n v="9717.6264096783998"/>
    <n v="0"/>
    <n v="0"/>
    <n v="0"/>
    <n v="9717.6264096783998"/>
  </r>
  <r>
    <x v="6"/>
    <d v="2021-08-04T00:00:00"/>
    <d v="2021-08-24T00:00:00"/>
    <x v="0"/>
    <n v="9"/>
    <n v="3938"/>
    <n v="3.7029508747261031"/>
    <n v="6.1637282811749872"/>
    <n v="24272.7619712671"/>
    <n v="14582.220544671394"/>
    <n v="9690.5414265957061"/>
    <n v="308.93931584315851"/>
    <n v="9999.4807424388637"/>
    <n v="0"/>
    <n v="0"/>
    <n v="0"/>
    <n v="9999.4807424388637"/>
  </r>
  <r>
    <x v="7"/>
    <d v="2021-09-03T00:00:00"/>
    <d v="2021-09-24T00:00:00"/>
    <x v="0"/>
    <n v="9"/>
    <n v="4002"/>
    <n v="3.7029508747261031"/>
    <n v="6.1637282811749872"/>
    <n v="24667.2405812623"/>
    <n v="14819.209400653865"/>
    <n v="9848.0311806084355"/>
    <n v="313.96016810673444"/>
    <n v="10161.99134871517"/>
    <n v="0"/>
    <n v="0"/>
    <n v="0"/>
    <n v="10161.99134871517"/>
  </r>
  <r>
    <x v="8"/>
    <d v="2021-10-05T00:00:00"/>
    <d v="2021-10-25T00:00:00"/>
    <x v="0"/>
    <n v="9"/>
    <n v="4029"/>
    <n v="3.7029508747261031"/>
    <n v="6.1637282811749872"/>
    <n v="24833.661244854022"/>
    <n v="14919.18907427147"/>
    <n v="9914.4721705825523"/>
    <n v="316.07834015543057"/>
    <n v="10230.550510737983"/>
    <n v="0"/>
    <n v="0"/>
    <n v="0"/>
    <n v="10230.550510737983"/>
  </r>
  <r>
    <x v="9"/>
    <d v="2021-11-03T00:00:00"/>
    <d v="2021-11-24T00:00:00"/>
    <x v="0"/>
    <n v="9"/>
    <n v="3123"/>
    <n v="3.7029508747261031"/>
    <n v="6.1637282811749872"/>
    <n v="19249.323422109486"/>
    <n v="11564.315581769621"/>
    <n v="7685.0078403398657"/>
    <n v="245.00190029918338"/>
    <n v="7930.0097406390487"/>
    <n v="0"/>
    <n v="0"/>
    <n v="0"/>
    <n v="7930.0097406390487"/>
  </r>
  <r>
    <x v="10"/>
    <d v="2021-12-03T00:00:00"/>
    <d v="2021-12-27T00:00:00"/>
    <x v="0"/>
    <n v="9"/>
    <n v="2263"/>
    <n v="3.7029508747261031"/>
    <n v="6.1637282811749872"/>
    <n v="13948.517100298996"/>
    <n v="8379.7778295051721"/>
    <n v="5568.7392707938234"/>
    <n v="177.53419800738135"/>
    <n v="5746.2734688012051"/>
    <n v="0"/>
    <n v="0"/>
    <n v="0"/>
    <n v="5746.2734688012051"/>
  </r>
  <r>
    <x v="11"/>
    <d v="2022-01-05T00:00:00"/>
    <d v="2022-01-24T00:00:00"/>
    <x v="0"/>
    <n v="9"/>
    <n v="2379"/>
    <n v="3.7029508747261031"/>
    <n v="6.1637282811749872"/>
    <n v="14663.509580915295"/>
    <n v="8809.3201309733995"/>
    <n v="5854.1894499418959"/>
    <n v="186.63449273511276"/>
    <n v="6040.8239426770087"/>
    <n v="0"/>
    <n v="0"/>
    <n v="0"/>
    <n v="6040.8239426770087"/>
  </r>
  <r>
    <x v="0"/>
    <d v="2021-02-03T00:00:00"/>
    <d v="2021-02-24T00:00:00"/>
    <x v="1"/>
    <n v="9"/>
    <n v="2771"/>
    <n v="3.7029508747261031"/>
    <n v="6.1637282811749872"/>
    <n v="17079.691067135889"/>
    <n v="10260.876873866031"/>
    <n v="6818.8141932698582"/>
    <n v="217.38721284951555"/>
    <n v="7036.201406119374"/>
    <n v="0"/>
    <n v="0"/>
    <n v="0"/>
    <n v="7036.201406119374"/>
  </r>
  <r>
    <x v="1"/>
    <d v="2021-03-03T00:00:00"/>
    <d v="2021-03-24T00:00:00"/>
    <x v="1"/>
    <n v="9"/>
    <n v="3136"/>
    <n v="3.7029508747261031"/>
    <n v="6.1637282811749872"/>
    <n v="19329.451889764761"/>
    <n v="11612.453943141059"/>
    <n v="7716.9979466237019"/>
    <n v="246.02176091522225"/>
    <n v="7963.0197075389242"/>
    <n v="0"/>
    <n v="0"/>
    <n v="0"/>
    <n v="7963.0197075389242"/>
  </r>
  <r>
    <x v="2"/>
    <d v="2021-04-05T00:00:00"/>
    <d v="2021-04-26T00:00:00"/>
    <x v="1"/>
    <n v="9"/>
    <n v="2339"/>
    <n v="3.7029508747261031"/>
    <n v="6.1637282811749872"/>
    <n v="14416.960449668295"/>
    <n v="8661.2020959843558"/>
    <n v="5755.7583536839393"/>
    <n v="183.49646007037779"/>
    <n v="5939.2548137543172"/>
    <n v="0"/>
    <n v="0"/>
    <n v="0"/>
    <n v="5939.2548137543172"/>
  </r>
  <r>
    <x v="3"/>
    <d v="2021-05-05T00:00:00"/>
    <d v="2021-05-24T00:00:00"/>
    <x v="1"/>
    <n v="9"/>
    <n v="2394"/>
    <n v="3.7029508747261031"/>
    <n v="6.1637282811749872"/>
    <n v="14755.965505132919"/>
    <n v="8864.8643940942911"/>
    <n v="5891.101111038628"/>
    <n v="187.8112549843884"/>
    <n v="6078.9123660230161"/>
    <n v="0"/>
    <n v="0"/>
    <n v="0"/>
    <n v="6078.9123660230161"/>
  </r>
  <r>
    <x v="4"/>
    <d v="2021-06-03T00:00:00"/>
    <d v="2021-06-24T00:00:00"/>
    <x v="1"/>
    <n v="9"/>
    <n v="2807"/>
    <n v="3.7029508747261031"/>
    <n v="6.1637282811749872"/>
    <n v="17301.585285258188"/>
    <n v="10394.183105356171"/>
    <n v="6907.4021799020175"/>
    <n v="220.21144224777703"/>
    <n v="7127.6136221497945"/>
    <n v="0"/>
    <n v="0"/>
    <n v="0"/>
    <n v="7127.6136221497945"/>
  </r>
  <r>
    <x v="5"/>
    <d v="2021-07-06T00:00:00"/>
    <d v="2021-07-24T00:00:00"/>
    <x v="1"/>
    <n v="9"/>
    <n v="3345"/>
    <n v="3.7029508747261031"/>
    <n v="6.1637282811749872"/>
    <n v="20617.671100530333"/>
    <n v="12386.370675958815"/>
    <n v="8231.3004245715183"/>
    <n v="262.41798158846251"/>
    <n v="8493.7184061599801"/>
    <n v="0"/>
    <n v="0"/>
    <n v="0"/>
    <n v="8493.7184061599801"/>
  </r>
  <r>
    <x v="6"/>
    <d v="2021-08-04T00:00:00"/>
    <d v="2021-08-24T00:00:00"/>
    <x v="1"/>
    <n v="9"/>
    <n v="3525"/>
    <n v="3.7029508747261031"/>
    <n v="6.1637282811749872"/>
    <n v="21727.142191141829"/>
    <n v="13052.901833409513"/>
    <n v="8674.2403577323166"/>
    <n v="276.53912857976985"/>
    <n v="8950.7794863120871"/>
    <n v="0"/>
    <n v="0"/>
    <n v="0"/>
    <n v="8950.7794863120871"/>
  </r>
  <r>
    <x v="7"/>
    <d v="2021-09-03T00:00:00"/>
    <d v="2021-09-24T00:00:00"/>
    <x v="1"/>
    <n v="9"/>
    <n v="3514"/>
    <n v="3.7029508747261031"/>
    <n v="6.1637282811749872"/>
    <n v="21659.341180048905"/>
    <n v="13012.169373787527"/>
    <n v="8647.1718062613782"/>
    <n v="275.67616959696772"/>
    <n v="8922.8479758583453"/>
    <n v="0"/>
    <n v="0"/>
    <n v="0"/>
    <n v="8922.8479758583453"/>
  </r>
  <r>
    <x v="8"/>
    <d v="2021-10-05T00:00:00"/>
    <d v="2021-10-25T00:00:00"/>
    <x v="1"/>
    <n v="9"/>
    <n v="3486"/>
    <n v="3.7029508747261031"/>
    <n v="6.1637282811749872"/>
    <n v="21486.756788176004"/>
    <n v="12908.486749295196"/>
    <n v="8578.270038880808"/>
    <n v="273.47954673165327"/>
    <n v="8851.7495856124606"/>
    <n v="0"/>
    <n v="0"/>
    <n v="0"/>
    <n v="8851.7495856124606"/>
  </r>
  <r>
    <x v="9"/>
    <d v="2021-11-03T00:00:00"/>
    <d v="2021-11-24T00:00:00"/>
    <x v="1"/>
    <n v="9"/>
    <n v="2777"/>
    <n v="3.7029508747261031"/>
    <n v="6.1637282811749872"/>
    <n v="17116.673436822941"/>
    <n v="10283.094579114388"/>
    <n v="6833.5788577085532"/>
    <n v="217.85791774922581"/>
    <n v="7051.4367754577788"/>
    <n v="0"/>
    <n v="0"/>
    <n v="0"/>
    <n v="7051.4367754577788"/>
  </r>
  <r>
    <x v="10"/>
    <d v="2021-12-03T00:00:00"/>
    <d v="2021-12-27T00:00:00"/>
    <x v="1"/>
    <n v="9"/>
    <n v="2284"/>
    <n v="3.7029508747261031"/>
    <n v="6.1637282811749872"/>
    <n v="14077.955394203671"/>
    <n v="8457.5397978744186"/>
    <n v="5620.4155963292524"/>
    <n v="179.18166515636719"/>
    <n v="5799.5972614856191"/>
    <n v="0"/>
    <n v="0"/>
    <n v="0"/>
    <n v="5799.5972614856191"/>
  </r>
  <r>
    <x v="11"/>
    <d v="2022-01-05T00:00:00"/>
    <d v="2022-01-24T00:00:00"/>
    <x v="1"/>
    <n v="9"/>
    <n v="2425"/>
    <n v="3.7029508747261031"/>
    <n v="6.1637282811749872"/>
    <n v="14947.041081849344"/>
    <n v="8979.6558712107999"/>
    <n v="5967.3852106385439"/>
    <n v="190.24323029955801"/>
    <n v="6157.6284409381014"/>
    <n v="0"/>
    <n v="0"/>
    <n v="0"/>
    <n v="6157.6284409381014"/>
  </r>
  <r>
    <x v="0"/>
    <d v="2021-02-03T00:00:00"/>
    <d v="2021-02-24T00:00:00"/>
    <x v="2"/>
    <n v="9"/>
    <n v="146"/>
    <n v="3.7029508747261031"/>
    <n v="6.1637282811749872"/>
    <n v="899.90432905154807"/>
    <n v="540.63082771001109"/>
    <n v="359.27350134153698"/>
    <n v="11.453819226282668"/>
    <n v="370.72732056781967"/>
    <n v="0"/>
    <n v="0"/>
    <n v="0"/>
    <n v="370.72732056781967"/>
  </r>
  <r>
    <x v="1"/>
    <d v="2021-03-03T00:00:00"/>
    <d v="2021-03-24T00:00:00"/>
    <x v="2"/>
    <n v="9"/>
    <n v="212"/>
    <n v="3.7029508747261031"/>
    <n v="6.1637282811749872"/>
    <n v="1306.7103956090973"/>
    <n v="785.0255854419338"/>
    <n v="521.6848101671635"/>
    <n v="16.631573123095382"/>
    <n v="538.31638329025884"/>
    <n v="0"/>
    <n v="0"/>
    <n v="0"/>
    <n v="538.31638329025884"/>
  </r>
  <r>
    <x v="2"/>
    <d v="2021-04-05T00:00:00"/>
    <d v="2021-04-26T00:00:00"/>
    <x v="2"/>
    <n v="9"/>
    <n v="125"/>
    <n v="3.7029508747261031"/>
    <n v="6.1637282811749872"/>
    <n v="770.46603514687342"/>
    <n v="462.86885934076287"/>
    <n v="307.59717580611056"/>
    <n v="9.806352077296804"/>
    <n v="317.40352788340738"/>
    <n v="0"/>
    <n v="0"/>
    <n v="0"/>
    <n v="317.40352788340738"/>
  </r>
  <r>
    <x v="3"/>
    <d v="2021-05-05T00:00:00"/>
    <d v="2021-05-24T00:00:00"/>
    <x v="2"/>
    <n v="9"/>
    <n v="92"/>
    <n v="3.7029508747261031"/>
    <n v="6.1637282811749872"/>
    <n v="567.06300186809881"/>
    <n v="340.67148047480146"/>
    <n v="226.39152139329735"/>
    <n v="7.217475128890448"/>
    <n v="233.60899652218779"/>
    <n v="0"/>
    <n v="0"/>
    <n v="0"/>
    <n v="233.60899652218779"/>
  </r>
  <r>
    <x v="4"/>
    <d v="2021-06-03T00:00:00"/>
    <d v="2021-06-24T00:00:00"/>
    <x v="2"/>
    <n v="9"/>
    <n v="102"/>
    <n v="3.7029508747261031"/>
    <n v="6.1637282811749872"/>
    <n v="628.70028467984866"/>
    <n v="377.7009892220625"/>
    <n v="250.99929545778616"/>
    <n v="8.0019832950741936"/>
    <n v="259.00127875286034"/>
    <n v="0"/>
    <n v="0"/>
    <n v="0"/>
    <n v="259.00127875286034"/>
  </r>
  <r>
    <x v="5"/>
    <d v="2021-07-06T00:00:00"/>
    <d v="2021-07-24T00:00:00"/>
    <x v="2"/>
    <n v="9"/>
    <n v="124"/>
    <n v="3.7029508747261031"/>
    <n v="6.1637282811749872"/>
    <n v="764.30230686569837"/>
    <n v="459.1659084660368"/>
    <n v="305.13639839966157"/>
    <n v="9.7279012606784292"/>
    <n v="314.86429966034001"/>
    <n v="0"/>
    <n v="0"/>
    <n v="0"/>
    <n v="314.86429966034001"/>
  </r>
  <r>
    <x v="6"/>
    <d v="2021-08-04T00:00:00"/>
    <d v="2021-08-24T00:00:00"/>
    <x v="2"/>
    <n v="9"/>
    <n v="138"/>
    <n v="3.7029508747261031"/>
    <n v="6.1637282811749872"/>
    <n v="850.59450280214821"/>
    <n v="511.00722071220224"/>
    <n v="339.58728208994597"/>
    <n v="10.826212693335673"/>
    <n v="350.41349478328164"/>
    <n v="0"/>
    <n v="0"/>
    <n v="0"/>
    <n v="350.41349478328164"/>
  </r>
  <r>
    <x v="7"/>
    <d v="2021-09-03T00:00:00"/>
    <d v="2021-09-24T00:00:00"/>
    <x v="2"/>
    <n v="9"/>
    <n v="140"/>
    <n v="3.7029508747261031"/>
    <n v="6.1637282811749872"/>
    <n v="862.92195936449821"/>
    <n v="518.41312246165444"/>
    <n v="344.50883690284377"/>
    <n v="10.983114326572421"/>
    <n v="355.4919512294162"/>
    <n v="0"/>
    <n v="0"/>
    <n v="0"/>
    <n v="355.4919512294162"/>
  </r>
  <r>
    <x v="8"/>
    <d v="2021-10-05T00:00:00"/>
    <d v="2021-10-25T00:00:00"/>
    <x v="2"/>
    <n v="9"/>
    <n v="140"/>
    <n v="3.7029508747261031"/>
    <n v="6.1637282811749872"/>
    <n v="862.92195936449821"/>
    <n v="518.41312246165444"/>
    <n v="344.50883690284377"/>
    <n v="10.983114326572421"/>
    <n v="355.4919512294162"/>
    <n v="0"/>
    <n v="0"/>
    <n v="0"/>
    <n v="355.4919512294162"/>
  </r>
  <r>
    <x v="9"/>
    <d v="2021-11-03T00:00:00"/>
    <d v="2021-11-24T00:00:00"/>
    <x v="2"/>
    <n v="9"/>
    <n v="106"/>
    <n v="3.7029508747261031"/>
    <n v="6.1637282811749872"/>
    <n v="653.35519780454865"/>
    <n v="392.5127927209669"/>
    <n v="260.84240508358175"/>
    <n v="8.3157865615476911"/>
    <n v="269.15819164512942"/>
    <n v="0"/>
    <n v="0"/>
    <n v="0"/>
    <n v="269.15819164512942"/>
  </r>
  <r>
    <x v="10"/>
    <d v="2021-12-03T00:00:00"/>
    <d v="2021-12-27T00:00:00"/>
    <x v="2"/>
    <n v="9"/>
    <n v="107"/>
    <n v="3.7029508747261031"/>
    <n v="6.1637282811749872"/>
    <n v="659.51892608572359"/>
    <n v="396.21574359569303"/>
    <n v="263.30318249003057"/>
    <n v="8.3942373781660642"/>
    <n v="271.69741986819662"/>
    <n v="0"/>
    <n v="0"/>
    <n v="0"/>
    <n v="271.69741986819662"/>
  </r>
  <r>
    <x v="11"/>
    <d v="2022-01-05T00:00:00"/>
    <d v="2022-01-24T00:00:00"/>
    <x v="2"/>
    <n v="9"/>
    <n v="110"/>
    <n v="3.7029508747261031"/>
    <n v="6.1637282811749872"/>
    <n v="678.01011092924864"/>
    <n v="407.32459621987135"/>
    <n v="270.68551470937729"/>
    <n v="8.6295898280211887"/>
    <n v="279.3151045373985"/>
    <n v="0"/>
    <n v="0"/>
    <n v="0"/>
    <n v="279.3151045373985"/>
  </r>
  <r>
    <x v="0"/>
    <d v="2021-02-03T00:00:00"/>
    <d v="2021-02-24T00:00:00"/>
    <x v="3"/>
    <n v="9"/>
    <n v="767"/>
    <n v="3.7029508747261031"/>
    <n v="6.1637282811749872"/>
    <n v="4727.5795916612151"/>
    <n v="2840.1633209149209"/>
    <n v="1887.4162707462942"/>
    <n v="60.171776346293186"/>
    <n v="1947.5880470925874"/>
    <n v="0"/>
    <n v="0"/>
    <n v="0"/>
    <n v="1947.5880470925874"/>
  </r>
  <r>
    <x v="1"/>
    <d v="2021-03-03T00:00:00"/>
    <d v="2021-03-24T00:00:00"/>
    <x v="3"/>
    <n v="9"/>
    <n v="1062"/>
    <n v="3.7029508747261031"/>
    <n v="6.1637282811749872"/>
    <n v="6545.8794346078366"/>
    <n v="3932.5338289591214"/>
    <n v="2613.3456056487153"/>
    <n v="83.31476724871365"/>
    <n v="2696.6603728974287"/>
    <n v="0"/>
    <n v="0"/>
    <n v="0"/>
    <n v="2696.6603728974287"/>
  </r>
  <r>
    <x v="2"/>
    <d v="2021-04-05T00:00:00"/>
    <d v="2021-04-26T00:00:00"/>
    <x v="3"/>
    <n v="9"/>
    <n v="599"/>
    <n v="3.7029508747261031"/>
    <n v="6.1637282811749872"/>
    <n v="3692.0732404238174"/>
    <n v="2218.0675739609355"/>
    <n v="1474.0056664628819"/>
    <n v="46.992039154406285"/>
    <n v="1520.9977056172881"/>
    <n v="0"/>
    <n v="0"/>
    <n v="0"/>
    <n v="1520.9977056172881"/>
  </r>
  <r>
    <x v="3"/>
    <d v="2021-05-05T00:00:00"/>
    <d v="2021-05-24T00:00:00"/>
    <x v="3"/>
    <n v="9"/>
    <n v="447"/>
    <n v="3.7029508747261031"/>
    <n v="6.1637282811749872"/>
    <n v="2755.1865416852193"/>
    <n v="1655.219041002568"/>
    <n v="1099.9675006826512"/>
    <n v="35.067515028413368"/>
    <n v="1135.0350157110647"/>
    <n v="0"/>
    <n v="0"/>
    <n v="0"/>
    <n v="1135.0350157110647"/>
  </r>
  <r>
    <x v="4"/>
    <d v="2021-06-03T00:00:00"/>
    <d v="2021-06-24T00:00:00"/>
    <x v="3"/>
    <n v="9"/>
    <n v="603"/>
    <n v="3.7029508747261031"/>
    <n v="6.1637282811749872"/>
    <n v="3716.7281535485172"/>
    <n v="2232.8793774598403"/>
    <n v="1483.8487760886769"/>
    <n v="47.305842420879777"/>
    <n v="1531.1546185095567"/>
    <n v="0"/>
    <n v="0"/>
    <n v="0"/>
    <n v="1531.1546185095567"/>
  </r>
  <r>
    <x v="5"/>
    <d v="2021-07-06T00:00:00"/>
    <d v="2021-07-24T00:00:00"/>
    <x v="3"/>
    <n v="9"/>
    <n v="840"/>
    <n v="3.7029508747261031"/>
    <n v="6.1637282811749872"/>
    <n v="5177.5317561869888"/>
    <n v="3110.4787347699266"/>
    <n v="2067.0530214170622"/>
    <n v="65.89868595943453"/>
    <n v="2132.9517073764969"/>
    <n v="0"/>
    <n v="0"/>
    <n v="0"/>
    <n v="2132.9517073764969"/>
  </r>
  <r>
    <x v="6"/>
    <d v="2021-08-04T00:00:00"/>
    <d v="2021-08-24T00:00:00"/>
    <x v="3"/>
    <n v="9"/>
    <n v="926"/>
    <n v="3.7029508747261031"/>
    <n v="6.1637282811749872"/>
    <n v="5707.6123883680384"/>
    <n v="3428.9325099963717"/>
    <n v="2278.6798783716667"/>
    <n v="72.645456188614716"/>
    <n v="2351.3253345602816"/>
    <n v="0"/>
    <n v="0"/>
    <n v="0"/>
    <n v="2351.3253345602816"/>
  </r>
  <r>
    <x v="7"/>
    <d v="2021-09-03T00:00:00"/>
    <d v="2021-09-24T00:00:00"/>
    <x v="3"/>
    <n v="9"/>
    <n v="943"/>
    <n v="3.7029508747261031"/>
    <n v="6.1637282811749872"/>
    <n v="5812.3957691480127"/>
    <n v="3491.8826748667152"/>
    <n v="2320.5130942812975"/>
    <n v="73.979120071127099"/>
    <n v="2394.4922143524245"/>
    <n v="0"/>
    <n v="0"/>
    <n v="0"/>
    <n v="2394.4922143524245"/>
  </r>
  <r>
    <x v="8"/>
    <d v="2021-10-05T00:00:00"/>
    <d v="2021-10-25T00:00:00"/>
    <x v="3"/>
    <n v="9"/>
    <n v="913"/>
    <n v="3.7029508747261031"/>
    <n v="6.1637282811749872"/>
    <n v="5627.4839207127634"/>
    <n v="3380.7941486249319"/>
    <n v="2246.6897720878314"/>
    <n v="71.625595572575861"/>
    <n v="2318.3153676604074"/>
    <n v="0"/>
    <n v="0"/>
    <n v="0"/>
    <n v="2318.3153676604074"/>
  </r>
  <r>
    <x v="9"/>
    <d v="2021-11-03T00:00:00"/>
    <d v="2021-11-24T00:00:00"/>
    <x v="3"/>
    <n v="9"/>
    <n v="681"/>
    <n v="3.7029508747261031"/>
    <n v="6.1637282811749872"/>
    <n v="4197.4989594801664"/>
    <n v="2521.7095456884763"/>
    <n v="1675.7894137916901"/>
    <n v="53.425006117112986"/>
    <n v="1729.2144199088032"/>
    <n v="0"/>
    <n v="0"/>
    <n v="0"/>
    <n v="1729.2144199088032"/>
  </r>
  <r>
    <x v="10"/>
    <d v="2021-12-03T00:00:00"/>
    <d v="2021-12-27T00:00:00"/>
    <x v="3"/>
    <n v="9"/>
    <n v="652"/>
    <n v="3.7029508747261031"/>
    <n v="6.1637282811749872"/>
    <n v="4018.7508393260914"/>
    <n v="2414.323970321419"/>
    <n v="1604.4268690046724"/>
    <n v="51.149932435180126"/>
    <n v="1655.5768014398525"/>
    <n v="0"/>
    <n v="0"/>
    <n v="0"/>
    <n v="1655.5768014398525"/>
  </r>
  <r>
    <x v="11"/>
    <d v="2022-01-05T00:00:00"/>
    <d v="2022-01-24T00:00:00"/>
    <x v="3"/>
    <n v="9"/>
    <n v="634"/>
    <n v="3.7029508747261031"/>
    <n v="6.1637282811749872"/>
    <n v="3907.8037302649418"/>
    <n v="2347.6708545763495"/>
    <n v="1560.1328756885923"/>
    <n v="49.737817736049386"/>
    <n v="1609.8706934246418"/>
    <n v="0"/>
    <n v="0"/>
    <n v="0"/>
    <n v="1609.8706934246418"/>
  </r>
  <r>
    <x v="0"/>
    <d v="2021-02-03T00:00:00"/>
    <d v="2021-02-24T00:00:00"/>
    <x v="4"/>
    <n v="9"/>
    <n v="38"/>
    <n v="3.7029508747261031"/>
    <n v="6.1637282811749872"/>
    <n v="234.22167468464951"/>
    <n v="140.71213323959191"/>
    <n v="93.509541445057607"/>
    <n v="2.9811310314982284"/>
    <n v="96.490672476555829"/>
    <n v="0"/>
    <n v="0"/>
    <n v="0"/>
    <n v="96.490672476555829"/>
  </r>
  <r>
    <x v="1"/>
    <d v="2021-03-03T00:00:00"/>
    <d v="2021-03-24T00:00:00"/>
    <x v="4"/>
    <n v="9"/>
    <n v="60"/>
    <n v="3.7029508747261031"/>
    <n v="6.1637282811749872"/>
    <n v="369.82369687049925"/>
    <n v="222.17705248356617"/>
    <n v="147.64664438693308"/>
    <n v="4.7070489971024658"/>
    <n v="152.35369338403555"/>
    <n v="0"/>
    <n v="0"/>
    <n v="0"/>
    <n v="152.35369338403555"/>
  </r>
  <r>
    <x v="2"/>
    <d v="2021-04-05T00:00:00"/>
    <d v="2021-04-26T00:00:00"/>
    <x v="4"/>
    <n v="9"/>
    <n v="31"/>
    <n v="3.7029508747261031"/>
    <n v="6.1637282811749872"/>
    <n v="191.07557671642459"/>
    <n v="114.7914771165092"/>
    <n v="76.284099599915393"/>
    <n v="2.4319753151696073"/>
    <n v="78.716074915085002"/>
    <n v="0"/>
    <n v="0"/>
    <n v="0"/>
    <n v="78.716074915085002"/>
  </r>
  <r>
    <x v="3"/>
    <d v="2021-05-05T00:00:00"/>
    <d v="2021-05-24T00:00:00"/>
    <x v="4"/>
    <n v="9"/>
    <n v="20"/>
    <n v="3.7029508747261031"/>
    <n v="6.1637282811749872"/>
    <n v="123.27456562349974"/>
    <n v="74.059017494522067"/>
    <n v="49.215548128977673"/>
    <n v="1.5690163323674886"/>
    <n v="50.784564461345163"/>
    <n v="0"/>
    <n v="0"/>
    <n v="0"/>
    <n v="50.784564461345163"/>
  </r>
  <r>
    <x v="4"/>
    <d v="2021-06-03T00:00:00"/>
    <d v="2021-06-24T00:00:00"/>
    <x v="4"/>
    <n v="9"/>
    <n v="28"/>
    <n v="3.7029508747261031"/>
    <n v="6.1637282811749872"/>
    <n v="172.58439187289963"/>
    <n v="103.68262449233089"/>
    <n v="68.901767380568742"/>
    <n v="2.1966228653144841"/>
    <n v="71.098390245883223"/>
    <n v="0"/>
    <n v="0"/>
    <n v="0"/>
    <n v="71.098390245883223"/>
  </r>
  <r>
    <x v="5"/>
    <d v="2021-07-06T00:00:00"/>
    <d v="2021-07-24T00:00:00"/>
    <x v="4"/>
    <n v="9"/>
    <n v="45"/>
    <n v="3.7029508747261031"/>
    <n v="6.1637282811749872"/>
    <n v="277.36777265287441"/>
    <n v="166.63278936267463"/>
    <n v="110.73498329019978"/>
    <n v="3.5302867478268496"/>
    <n v="114.26527003802663"/>
    <n v="0"/>
    <n v="0"/>
    <n v="0"/>
    <n v="114.26527003802663"/>
  </r>
  <r>
    <x v="6"/>
    <d v="2021-08-04T00:00:00"/>
    <d v="2021-08-24T00:00:00"/>
    <x v="4"/>
    <n v="9"/>
    <n v="53"/>
    <n v="3.7029508747261031"/>
    <n v="6.1637282811749872"/>
    <n v="326.67759890227433"/>
    <n v="196.25639636048345"/>
    <n v="130.42120254179088"/>
    <n v="4.1578932807738456"/>
    <n v="134.57909582256471"/>
    <n v="0"/>
    <n v="0"/>
    <n v="0"/>
    <n v="134.57909582256471"/>
  </r>
  <r>
    <x v="7"/>
    <d v="2021-09-03T00:00:00"/>
    <d v="2021-09-24T00:00:00"/>
    <x v="4"/>
    <n v="9"/>
    <n v="50"/>
    <n v="3.7029508747261031"/>
    <n v="6.1637282811749872"/>
    <n v="308.18641405874934"/>
    <n v="185.14754373630515"/>
    <n v="123.03887032244418"/>
    <n v="3.922540830918722"/>
    <n v="126.9614111533629"/>
    <n v="0"/>
    <n v="0"/>
    <n v="0"/>
    <n v="126.9614111533629"/>
  </r>
  <r>
    <x v="8"/>
    <d v="2021-10-05T00:00:00"/>
    <d v="2021-10-25T00:00:00"/>
    <x v="4"/>
    <n v="9"/>
    <n v="49"/>
    <n v="3.7029508747261031"/>
    <n v="6.1637282811749872"/>
    <n v="302.0226857775744"/>
    <n v="181.44459286157905"/>
    <n v="120.57809291599534"/>
    <n v="3.8440900143003476"/>
    <n v="124.42218293029569"/>
    <n v="0"/>
    <n v="0"/>
    <n v="0"/>
    <n v="124.42218293029569"/>
  </r>
  <r>
    <x v="9"/>
    <d v="2021-11-03T00:00:00"/>
    <d v="2021-11-24T00:00:00"/>
    <x v="4"/>
    <n v="9"/>
    <n v="38"/>
    <n v="3.7029508747261031"/>
    <n v="6.1637282811749872"/>
    <n v="234.22167468464951"/>
    <n v="140.71213323959191"/>
    <n v="93.509541445057607"/>
    <n v="2.9811310314982284"/>
    <n v="96.490672476555829"/>
    <n v="0"/>
    <n v="0"/>
    <n v="0"/>
    <n v="96.490672476555829"/>
  </r>
  <r>
    <x v="10"/>
    <d v="2021-12-03T00:00:00"/>
    <d v="2021-12-27T00:00:00"/>
    <x v="4"/>
    <n v="9"/>
    <n v="32"/>
    <n v="3.7029508747261031"/>
    <n v="6.1637282811749872"/>
    <n v="197.23930499759959"/>
    <n v="118.4944279912353"/>
    <n v="78.744877006364291"/>
    <n v="2.5104261317879817"/>
    <n v="81.255303138152271"/>
    <n v="0"/>
    <n v="0"/>
    <n v="0"/>
    <n v="81.255303138152271"/>
  </r>
  <r>
    <x v="11"/>
    <d v="2022-01-05T00:00:00"/>
    <d v="2022-01-24T00:00:00"/>
    <x v="4"/>
    <n v="9"/>
    <n v="31"/>
    <n v="3.7029508747261031"/>
    <n v="6.1637282811749872"/>
    <n v="191.07557671642459"/>
    <n v="114.7914771165092"/>
    <n v="76.284099599915393"/>
    <n v="2.4319753151696073"/>
    <n v="78.716074915085002"/>
    <n v="0"/>
    <n v="0"/>
    <n v="0"/>
    <n v="78.716074915085002"/>
  </r>
  <r>
    <x v="0"/>
    <d v="2021-02-03T00:00:00"/>
    <d v="2021-02-24T00:00:00"/>
    <x v="5"/>
    <n v="9"/>
    <n v="43"/>
    <n v="3.7029508747261031"/>
    <n v="6.1637282811749872"/>
    <n v="265.04031609052447"/>
    <n v="159.22688761322243"/>
    <n v="105.81342847730204"/>
    <n v="3.3733851145901004"/>
    <n v="109.18681359189215"/>
    <n v="0"/>
    <n v="0"/>
    <n v="0"/>
    <n v="109.18681359189215"/>
  </r>
  <r>
    <x v="1"/>
    <d v="2021-03-03T00:00:00"/>
    <d v="2021-03-24T00:00:00"/>
    <x v="5"/>
    <n v="9"/>
    <n v="48"/>
    <n v="3.7029508747261031"/>
    <n v="6.1637282811749872"/>
    <n v="295.8589574963994"/>
    <n v="177.74164198685295"/>
    <n v="118.11731550954644"/>
    <n v="3.7656391976819727"/>
    <n v="121.88295470722842"/>
    <n v="0"/>
    <n v="0"/>
    <n v="0"/>
    <n v="121.88295470722842"/>
  </r>
  <r>
    <x v="2"/>
    <d v="2021-04-05T00:00:00"/>
    <d v="2021-04-26T00:00:00"/>
    <x v="5"/>
    <n v="9"/>
    <n v="35"/>
    <n v="3.7029508747261031"/>
    <n v="6.1637282811749872"/>
    <n v="215.73048984112455"/>
    <n v="129.60328061541361"/>
    <n v="86.127209225710942"/>
    <n v="2.7457785816431053"/>
    <n v="88.87298780735405"/>
    <n v="0"/>
    <n v="0"/>
    <n v="0"/>
    <n v="88.87298780735405"/>
  </r>
  <r>
    <x v="3"/>
    <d v="2021-05-05T00:00:00"/>
    <d v="2021-05-24T00:00:00"/>
    <x v="5"/>
    <n v="9"/>
    <n v="29"/>
    <n v="3.7029508747261031"/>
    <n v="6.1637282811749872"/>
    <n v="178.74812015407463"/>
    <n v="107.38557536705699"/>
    <n v="71.36254478701764"/>
    <n v="2.2750736819328585"/>
    <n v="73.637618468950492"/>
    <n v="0"/>
    <n v="0"/>
    <n v="0"/>
    <n v="73.637618468950492"/>
  </r>
  <r>
    <x v="4"/>
    <d v="2021-06-03T00:00:00"/>
    <d v="2021-06-24T00:00:00"/>
    <x v="5"/>
    <n v="9"/>
    <n v="34"/>
    <n v="3.7029508747261031"/>
    <n v="6.1637282811749872"/>
    <n v="209.56676155994955"/>
    <n v="125.90032974068751"/>
    <n v="83.666431819262044"/>
    <n v="2.6673277650247309"/>
    <n v="86.333759584286781"/>
    <n v="0"/>
    <n v="0"/>
    <n v="0"/>
    <n v="86.333759584286781"/>
  </r>
  <r>
    <x v="5"/>
    <d v="2021-07-06T00:00:00"/>
    <d v="2021-07-24T00:00:00"/>
    <x v="5"/>
    <n v="9"/>
    <n v="45"/>
    <n v="3.7029508747261031"/>
    <n v="6.1637282811749872"/>
    <n v="277.36777265287441"/>
    <n v="166.63278936267463"/>
    <n v="110.73498329019978"/>
    <n v="3.5302867478268496"/>
    <n v="114.26527003802663"/>
    <n v="0"/>
    <n v="0"/>
    <n v="0"/>
    <n v="114.26527003802663"/>
  </r>
  <r>
    <x v="6"/>
    <d v="2021-08-04T00:00:00"/>
    <d v="2021-08-24T00:00:00"/>
    <x v="5"/>
    <n v="9"/>
    <n v="48"/>
    <n v="3.7029508747261031"/>
    <n v="6.1637282811749872"/>
    <n v="295.8589574963994"/>
    <n v="177.74164198685295"/>
    <n v="118.11731550954644"/>
    <n v="3.7656391976819727"/>
    <n v="121.88295470722842"/>
    <n v="0"/>
    <n v="0"/>
    <n v="0"/>
    <n v="121.88295470722842"/>
  </r>
  <r>
    <x v="7"/>
    <d v="2021-09-03T00:00:00"/>
    <d v="2021-09-24T00:00:00"/>
    <x v="5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8"/>
    <d v="2021-10-05T00:00:00"/>
    <d v="2021-10-25T00:00:00"/>
    <x v="5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9"/>
    <d v="2021-11-03T00:00:00"/>
    <d v="2021-11-24T00:00:00"/>
    <x v="5"/>
    <n v="9"/>
    <n v="41"/>
    <n v="3.7029508747261031"/>
    <n v="6.1637282811749872"/>
    <n v="252.71285952817448"/>
    <n v="151.82098586377023"/>
    <n v="100.89187366440424"/>
    <n v="3.2164834813533516"/>
    <n v="104.10835714575759"/>
    <n v="0"/>
    <n v="0"/>
    <n v="0"/>
    <n v="104.10835714575759"/>
  </r>
  <r>
    <x v="10"/>
    <d v="2021-12-03T00:00:00"/>
    <d v="2021-12-27T00:00:00"/>
    <x v="5"/>
    <n v="9"/>
    <n v="40"/>
    <n v="3.7029508747261031"/>
    <n v="6.1637282811749872"/>
    <n v="246.54913124699948"/>
    <n v="148.11803498904413"/>
    <n v="98.431096257955346"/>
    <n v="3.1380326647349772"/>
    <n v="101.56912892269033"/>
    <n v="0"/>
    <n v="0"/>
    <n v="0"/>
    <n v="101.56912892269033"/>
  </r>
  <r>
    <x v="11"/>
    <d v="2022-01-05T00:00:00"/>
    <d v="2022-01-24T00:00:00"/>
    <x v="5"/>
    <n v="9"/>
    <n v="39"/>
    <n v="3.7029508747261031"/>
    <n v="6.1637282811749872"/>
    <n v="240.38540296582451"/>
    <n v="144.41508411431801"/>
    <n v="95.970318851506505"/>
    <n v="3.0595818481166028"/>
    <n v="99.029900699623113"/>
    <n v="0"/>
    <n v="0"/>
    <n v="0"/>
    <n v="99.029900699623113"/>
  </r>
  <r>
    <x v="0"/>
    <d v="2021-02-03T00:00:00"/>
    <d v="2021-02-24T00:00:00"/>
    <x v="6"/>
    <n v="9"/>
    <n v="76"/>
    <n v="3.7029508747261031"/>
    <n v="6.1637282811749872"/>
    <n v="468.44334936929903"/>
    <n v="281.42426647918381"/>
    <n v="187.01908289011521"/>
    <n v="5.9622620629964569"/>
    <n v="192.98134495311166"/>
    <n v="0"/>
    <n v="0"/>
    <n v="0"/>
    <n v="192.98134495311166"/>
  </r>
  <r>
    <x v="1"/>
    <d v="2021-03-03T00:00:00"/>
    <d v="2021-03-24T00:00:00"/>
    <x v="6"/>
    <n v="9"/>
    <n v="99"/>
    <n v="3.7029508747261031"/>
    <n v="6.1637282811749872"/>
    <n v="610.20909983632373"/>
    <n v="366.59213659788418"/>
    <n v="243.61696323843955"/>
    <n v="7.76663084521907"/>
    <n v="251.38359408365864"/>
    <n v="0"/>
    <n v="0"/>
    <n v="0"/>
    <n v="251.38359408365864"/>
  </r>
  <r>
    <x v="2"/>
    <d v="2021-04-05T00:00:00"/>
    <d v="2021-04-26T00:00:00"/>
    <x v="6"/>
    <n v="9"/>
    <n v="66"/>
    <n v="3.7029508747261031"/>
    <n v="6.1637282811749872"/>
    <n v="406.80606655754917"/>
    <n v="244.39475773192279"/>
    <n v="162.41130882562638"/>
    <n v="5.1777538968127121"/>
    <n v="167.58906272243908"/>
    <n v="0"/>
    <n v="0"/>
    <n v="0"/>
    <n v="167.58906272243908"/>
  </r>
  <r>
    <x v="3"/>
    <d v="2021-05-05T00:00:00"/>
    <d v="2021-05-24T00:00:00"/>
    <x v="6"/>
    <n v="9"/>
    <n v="67"/>
    <n v="3.7029508747261031"/>
    <n v="6.1637282811749872"/>
    <n v="412.96979483872411"/>
    <n v="248.09770860664889"/>
    <n v="164.87208623207522"/>
    <n v="5.256204713431087"/>
    <n v="170.12829094550631"/>
    <n v="0"/>
    <n v="0"/>
    <n v="0"/>
    <n v="170.12829094550631"/>
  </r>
  <r>
    <x v="4"/>
    <d v="2021-06-03T00:00:00"/>
    <d v="2021-06-24T00:00:00"/>
    <x v="6"/>
    <n v="9"/>
    <n v="101"/>
    <n v="3.7029508747261031"/>
    <n v="6.1637282811749872"/>
    <n v="622.53655639867372"/>
    <n v="373.99803834733643"/>
    <n v="248.53851805133729"/>
    <n v="7.9235324784558188"/>
    <n v="256.46205052979309"/>
    <n v="0"/>
    <n v="0"/>
    <n v="0"/>
    <n v="256.46205052979309"/>
  </r>
  <r>
    <x v="5"/>
    <d v="2021-07-06T00:00:00"/>
    <d v="2021-07-24T00:00:00"/>
    <x v="6"/>
    <n v="9"/>
    <n v="141"/>
    <n v="3.7029508747261031"/>
    <n v="6.1637282811749872"/>
    <n v="869.08568764567315"/>
    <n v="522.11607333638051"/>
    <n v="346.96961430929264"/>
    <n v="11.061565143190796"/>
    <n v="358.03117945248346"/>
    <n v="0"/>
    <n v="0"/>
    <n v="0"/>
    <n v="358.03117945248346"/>
  </r>
  <r>
    <x v="6"/>
    <d v="2021-08-04T00:00:00"/>
    <d v="2021-08-24T00:00:00"/>
    <x v="6"/>
    <n v="9"/>
    <n v="145"/>
    <n v="3.7029508747261031"/>
    <n v="6.1637282811749872"/>
    <n v="893.74060077037313"/>
    <n v="536.92787683528491"/>
    <n v="356.81272393508823"/>
    <n v="11.375368409664294"/>
    <n v="368.18809234475253"/>
    <n v="0"/>
    <n v="0"/>
    <n v="0"/>
    <n v="368.18809234475253"/>
  </r>
  <r>
    <x v="7"/>
    <d v="2021-09-03T00:00:00"/>
    <d v="2021-09-24T00:00:00"/>
    <x v="6"/>
    <n v="9"/>
    <n v="149"/>
    <n v="3.7029508747261031"/>
    <n v="6.1637282811749872"/>
    <n v="918.39551389507312"/>
    <n v="551.7396803341893"/>
    <n v="366.65583356088382"/>
    <n v="11.689171676137791"/>
    <n v="378.34500523702161"/>
    <n v="0"/>
    <n v="0"/>
    <n v="0"/>
    <n v="378.34500523702161"/>
  </r>
  <r>
    <x v="8"/>
    <d v="2021-10-05T00:00:00"/>
    <d v="2021-10-25T00:00:00"/>
    <x v="6"/>
    <n v="9"/>
    <n v="150"/>
    <n v="3.7029508747261031"/>
    <n v="6.1637282811749872"/>
    <n v="924.55924217624806"/>
    <n v="555.44263120891549"/>
    <n v="369.11661096733258"/>
    <n v="11.767622492756166"/>
    <n v="380.88423346008875"/>
    <n v="0"/>
    <n v="0"/>
    <n v="0"/>
    <n v="380.88423346008875"/>
  </r>
  <r>
    <x v="9"/>
    <d v="2021-11-03T00:00:00"/>
    <d v="2021-11-24T00:00:00"/>
    <x v="6"/>
    <n v="9"/>
    <n v="114"/>
    <n v="3.7029508747261031"/>
    <n v="6.1637282811749872"/>
    <n v="702.66502405394851"/>
    <n v="422.13639971877575"/>
    <n v="280.52862433517276"/>
    <n v="8.9433930944946862"/>
    <n v="289.47201742966746"/>
    <n v="0"/>
    <n v="0"/>
    <n v="0"/>
    <n v="289.47201742966746"/>
  </r>
  <r>
    <x v="10"/>
    <d v="2021-12-03T00:00:00"/>
    <d v="2021-12-27T00:00:00"/>
    <x v="6"/>
    <n v="9"/>
    <n v="66"/>
    <n v="3.7029508747261031"/>
    <n v="6.1637282811749872"/>
    <n v="406.80606655754917"/>
    <n v="244.39475773192279"/>
    <n v="162.41130882562638"/>
    <n v="5.1777538968127121"/>
    <n v="167.58906272243908"/>
    <n v="0"/>
    <n v="0"/>
    <n v="0"/>
    <n v="167.58906272243908"/>
  </r>
  <r>
    <x v="11"/>
    <d v="2022-01-05T00:00:00"/>
    <d v="2022-01-24T00:00:00"/>
    <x v="6"/>
    <n v="9"/>
    <n v="72"/>
    <n v="3.7029508747261031"/>
    <n v="6.1637282811749872"/>
    <n v="443.7884362445991"/>
    <n v="266.61246298027942"/>
    <n v="177.17597326431968"/>
    <n v="5.6484587965229593"/>
    <n v="182.82443206084264"/>
    <n v="0"/>
    <n v="0"/>
    <n v="0"/>
    <n v="182.82443206084264"/>
  </r>
  <r>
    <x v="0"/>
    <d v="2021-02-03T00:00:00"/>
    <d v="2021-02-24T00:00:00"/>
    <x v="7"/>
    <n v="9"/>
    <n v="37"/>
    <n v="3.7029508747261031"/>
    <n v="6.1637282811749872"/>
    <n v="228.05794640347452"/>
    <n v="137.00918236486581"/>
    <n v="91.048764038608709"/>
    <n v="2.9026802148798541"/>
    <n v="93.95144425348856"/>
    <n v="0"/>
    <n v="0"/>
    <n v="0"/>
    <n v="93.95144425348856"/>
  </r>
  <r>
    <x v="1"/>
    <d v="2021-03-03T00:00:00"/>
    <d v="2021-03-24T00:00:00"/>
    <x v="7"/>
    <n v="9"/>
    <n v="33"/>
    <n v="3.7029508747261031"/>
    <n v="6.1637282811749872"/>
    <n v="203.40303327877459"/>
    <n v="122.1973788659614"/>
    <n v="81.205654412813189"/>
    <n v="2.5888769484063561"/>
    <n v="83.794531361219541"/>
    <n v="0"/>
    <n v="0"/>
    <n v="0"/>
    <n v="83.794531361219541"/>
  </r>
  <r>
    <x v="2"/>
    <d v="2021-04-05T00:00:00"/>
    <d v="2021-04-26T00:00:00"/>
    <x v="7"/>
    <n v="9"/>
    <n v="47"/>
    <n v="3.7029508747261031"/>
    <n v="6.1637282811749872"/>
    <n v="289.6952292152244"/>
    <n v="174.03869111212686"/>
    <n v="115.65653810309755"/>
    <n v="3.6871883810635984"/>
    <n v="119.34372648416114"/>
    <n v="0"/>
    <n v="0"/>
    <n v="0"/>
    <n v="119.34372648416114"/>
  </r>
  <r>
    <x v="3"/>
    <d v="2021-05-05T00:00:00"/>
    <d v="2021-05-24T00:00:00"/>
    <x v="7"/>
    <n v="9"/>
    <n v="39"/>
    <n v="3.7029508747261031"/>
    <n v="6.1637282811749872"/>
    <n v="240.38540296582451"/>
    <n v="144.41508411431801"/>
    <n v="95.970318851506505"/>
    <n v="3.0595818481166028"/>
    <n v="99.029900699623113"/>
    <n v="0"/>
    <n v="0"/>
    <n v="0"/>
    <n v="99.029900699623113"/>
  </r>
  <r>
    <x v="4"/>
    <d v="2021-06-03T00:00:00"/>
    <d v="2021-06-24T00:00:00"/>
    <x v="7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5"/>
    <d v="2021-07-06T00:00:00"/>
    <d v="2021-07-24T00:00:00"/>
    <x v="7"/>
    <n v="9"/>
    <n v="51"/>
    <n v="3.7029508747261031"/>
    <n v="6.1637282811749872"/>
    <n v="314.35014233992433"/>
    <n v="188.85049461103125"/>
    <n v="125.49964772889308"/>
    <n v="4.0009916475370968"/>
    <n v="129.50063937643017"/>
    <n v="0"/>
    <n v="0"/>
    <n v="0"/>
    <n v="129.50063937643017"/>
  </r>
  <r>
    <x v="6"/>
    <d v="2021-08-04T00:00:00"/>
    <d v="2021-08-24T00:00:00"/>
    <x v="7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7"/>
    <d v="2021-09-03T00:00:00"/>
    <d v="2021-09-24T00:00:00"/>
    <x v="7"/>
    <n v="9"/>
    <n v="50"/>
    <n v="3.7029508747261031"/>
    <n v="6.1637282811749872"/>
    <n v="308.18641405874934"/>
    <n v="185.14754373630515"/>
    <n v="123.03887032244418"/>
    <n v="3.922540830918722"/>
    <n v="126.9614111533629"/>
    <n v="0"/>
    <n v="0"/>
    <n v="0"/>
    <n v="126.9614111533629"/>
  </r>
  <r>
    <x v="8"/>
    <d v="2021-10-05T00:00:00"/>
    <d v="2021-10-25T00:00:00"/>
    <x v="7"/>
    <n v="9"/>
    <n v="45"/>
    <n v="3.7029508747261031"/>
    <n v="6.1637282811749872"/>
    <n v="277.36777265287441"/>
    <n v="166.63278936267463"/>
    <n v="110.73498329019978"/>
    <n v="3.5302867478268496"/>
    <n v="114.26527003802663"/>
    <n v="0"/>
    <n v="0"/>
    <n v="0"/>
    <n v="114.26527003802663"/>
  </r>
  <r>
    <x v="9"/>
    <d v="2021-11-03T00:00:00"/>
    <d v="2021-11-24T00:00:00"/>
    <x v="7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10"/>
    <d v="2021-12-03T00:00:00"/>
    <d v="2021-12-27T00:00:00"/>
    <x v="7"/>
    <n v="9"/>
    <n v="48"/>
    <n v="3.7029508747261031"/>
    <n v="6.1637282811749872"/>
    <n v="295.8589574963994"/>
    <n v="177.74164198685295"/>
    <n v="118.11731550954644"/>
    <n v="3.7656391976819727"/>
    <n v="121.88295470722842"/>
    <n v="0"/>
    <n v="0"/>
    <n v="0"/>
    <n v="121.88295470722842"/>
  </r>
  <r>
    <x v="11"/>
    <d v="2022-01-05T00:00:00"/>
    <d v="2022-01-24T00:00:00"/>
    <x v="7"/>
    <n v="9"/>
    <n v="42"/>
    <n v="3.7029508747261031"/>
    <n v="6.1637282811749872"/>
    <n v="258.87658780934947"/>
    <n v="155.52393673849633"/>
    <n v="103.35265107085314"/>
    <n v="3.294934297971726"/>
    <n v="106.64758536882486"/>
    <n v="0"/>
    <n v="0"/>
    <n v="0"/>
    <n v="106.64758536882486"/>
  </r>
  <r>
    <x v="0"/>
    <d v="2021-02-03T00:00:00"/>
    <d v="2021-02-24T00:00:00"/>
    <x v="8"/>
    <n v="9"/>
    <n v="973"/>
    <n v="3.7029508747261031"/>
    <n v="6.1637282811749872"/>
    <n v="5997.3076175832621"/>
    <n v="3602.9712011084985"/>
    <n v="2394.3364164747636"/>
    <n v="76.332644569678322"/>
    <n v="2470.6690610444421"/>
    <n v="0"/>
    <n v="0"/>
    <n v="0"/>
    <n v="2470.6690610444421"/>
  </r>
  <r>
    <x v="1"/>
    <d v="2021-03-03T00:00:00"/>
    <d v="2021-03-24T00:00:00"/>
    <x v="8"/>
    <n v="9"/>
    <n v="1338"/>
    <n v="3.7029508747261031"/>
    <n v="6.1637282811749872"/>
    <n v="8247.0684402121333"/>
    <n v="4954.548270383526"/>
    <n v="3292.5201698286073"/>
    <n v="104.96719263538499"/>
    <n v="3397.4873624639922"/>
    <n v="0"/>
    <n v="0"/>
    <n v="0"/>
    <n v="3397.4873624639922"/>
  </r>
  <r>
    <x v="2"/>
    <d v="2021-04-05T00:00:00"/>
    <d v="2021-04-26T00:00:00"/>
    <x v="8"/>
    <n v="9"/>
    <n v="790"/>
    <n v="3.7029508747261031"/>
    <n v="6.1637282811749872"/>
    <n v="4869.3453421282402"/>
    <n v="2925.3311910336215"/>
    <n v="1944.0141510946187"/>
    <n v="61.976145128515803"/>
    <n v="2005.9902962231345"/>
    <n v="0"/>
    <n v="0"/>
    <n v="0"/>
    <n v="2005.9902962231345"/>
  </r>
  <r>
    <x v="3"/>
    <d v="2021-05-05T00:00:00"/>
    <d v="2021-05-24T00:00:00"/>
    <x v="8"/>
    <n v="9"/>
    <n v="565"/>
    <n v="3.7029508747261031"/>
    <n v="6.1637282811749872"/>
    <n v="3482.5064788638679"/>
    <n v="2092.1672442202484"/>
    <n v="1390.3392346436194"/>
    <n v="44.324711389381555"/>
    <n v="1434.6639460330009"/>
    <n v="0"/>
    <n v="0"/>
    <n v="0"/>
    <n v="1434.6639460330009"/>
  </r>
  <r>
    <x v="4"/>
    <d v="2021-06-03T00:00:00"/>
    <d v="2021-06-24T00:00:00"/>
    <x v="8"/>
    <n v="9"/>
    <n v="636"/>
    <n v="3.7029508747261031"/>
    <n v="6.1637282811749872"/>
    <n v="3920.1311868272919"/>
    <n v="2355.0767563258014"/>
    <n v="1565.0544305014905"/>
    <n v="49.894719369286136"/>
    <n v="1614.9491498707766"/>
    <n v="0"/>
    <n v="0"/>
    <n v="0"/>
    <n v="1614.9491498707766"/>
  </r>
  <r>
    <x v="5"/>
    <d v="2021-07-06T00:00:00"/>
    <d v="2021-07-24T00:00:00"/>
    <x v="8"/>
    <n v="9"/>
    <n v="845"/>
    <n v="3.7029508747261031"/>
    <n v="6.1637282811749872"/>
    <n v="5208.3503975928643"/>
    <n v="3128.9934891435569"/>
    <n v="2079.3569084493074"/>
    <n v="66.290940042526401"/>
    <n v="2145.6478484918339"/>
    <n v="0"/>
    <n v="0"/>
    <n v="0"/>
    <n v="2145.6478484918339"/>
  </r>
  <r>
    <x v="6"/>
    <d v="2021-08-04T00:00:00"/>
    <d v="2021-08-24T00:00:00"/>
    <x v="8"/>
    <n v="9"/>
    <n v="897"/>
    <n v="3.7029508747261031"/>
    <n v="6.1637282811749872"/>
    <n v="5528.8642682139634"/>
    <n v="3321.5469346293144"/>
    <n v="2207.3173335846491"/>
    <n v="70.370382506681864"/>
    <n v="2277.6877160913309"/>
    <n v="0"/>
    <n v="0"/>
    <n v="0"/>
    <n v="2277.6877160913309"/>
  </r>
  <r>
    <x v="7"/>
    <d v="2021-09-03T00:00:00"/>
    <d v="2021-09-24T00:00:00"/>
    <x v="8"/>
    <n v="9"/>
    <n v="899"/>
    <n v="3.7029508747261031"/>
    <n v="6.1637282811749872"/>
    <n v="5541.1917247763131"/>
    <n v="3328.9528363787667"/>
    <n v="2212.2388883975464"/>
    <n v="70.527284139918621"/>
    <n v="2282.7661725374651"/>
    <n v="0"/>
    <n v="0"/>
    <n v="0"/>
    <n v="2282.7661725374651"/>
  </r>
  <r>
    <x v="8"/>
    <d v="2021-10-05T00:00:00"/>
    <d v="2021-10-25T00:00:00"/>
    <x v="8"/>
    <n v="9"/>
    <n v="904"/>
    <n v="3.7029508747261031"/>
    <n v="6.1637282811749872"/>
    <n v="5572.0103661821886"/>
    <n v="3347.467590752397"/>
    <n v="2224.5427754297916"/>
    <n v="70.919538223010491"/>
    <n v="2295.4623136528021"/>
    <n v="0"/>
    <n v="0"/>
    <n v="0"/>
    <n v="2295.4623136528021"/>
  </r>
  <r>
    <x v="9"/>
    <d v="2021-11-03T00:00:00"/>
    <d v="2021-11-24T00:00:00"/>
    <x v="8"/>
    <n v="9"/>
    <n v="685"/>
    <n v="3.7029508747261031"/>
    <n v="6.1637282811749872"/>
    <n v="4222.1538726048666"/>
    <n v="2536.5213491873806"/>
    <n v="1685.632523417486"/>
    <n v="53.738809383586485"/>
    <n v="1739.3713328010724"/>
    <n v="0"/>
    <n v="0"/>
    <n v="0"/>
    <n v="1739.3713328010724"/>
  </r>
  <r>
    <x v="10"/>
    <d v="2021-12-03T00:00:00"/>
    <d v="2021-12-27T00:00:00"/>
    <x v="8"/>
    <n v="9"/>
    <n v="718"/>
    <n v="3.7029508747261031"/>
    <n v="6.1637282811749872"/>
    <n v="4425.5569058836409"/>
    <n v="2658.7187280533421"/>
    <n v="1766.8381778302987"/>
    <n v="56.327686331992844"/>
    <n v="1823.1658641622917"/>
    <n v="0"/>
    <n v="0"/>
    <n v="0"/>
    <n v="1823.1658641622917"/>
  </r>
  <r>
    <x v="11"/>
    <d v="2022-01-05T00:00:00"/>
    <d v="2022-01-24T00:00:00"/>
    <x v="8"/>
    <n v="9"/>
    <n v="770"/>
    <n v="3.7029508747261031"/>
    <n v="6.1637282811749872"/>
    <n v="4746.07077650474"/>
    <n v="2851.2721735390992"/>
    <n v="1894.7986029656408"/>
    <n v="60.407128796148314"/>
    <n v="1955.2057317617891"/>
    <n v="0"/>
    <n v="0"/>
    <n v="0"/>
    <n v="1955.2057317617891"/>
  </r>
  <r>
    <x v="0"/>
    <d v="2021-02-03T00:00:00"/>
    <d v="2021-02-24T00:00:00"/>
    <x v="9"/>
    <n v="9"/>
    <n v="7"/>
    <n v="3.7029508747261031"/>
    <n v="6.1637282811749872"/>
    <n v="43.146097968224908"/>
    <n v="25.920656123082722"/>
    <n v="17.225441845142186"/>
    <n v="0.54915571632862104"/>
    <n v="17.774597561470806"/>
    <n v="0"/>
    <n v="0"/>
    <n v="0"/>
    <n v="17.774597561470806"/>
  </r>
  <r>
    <x v="1"/>
    <d v="2021-03-03T00:00:00"/>
    <d v="2021-03-24T00:00:00"/>
    <x v="9"/>
    <n v="9"/>
    <n v="8"/>
    <n v="3.7029508747261031"/>
    <n v="6.1637282811749872"/>
    <n v="49.309826249399897"/>
    <n v="29.623606997808825"/>
    <n v="19.686219251591073"/>
    <n v="0.62760653294699542"/>
    <n v="20.313825784538068"/>
    <n v="0"/>
    <n v="0"/>
    <n v="0"/>
    <n v="20.313825784538068"/>
  </r>
  <r>
    <x v="2"/>
    <d v="2021-04-05T00:00:00"/>
    <d v="2021-04-26T00:00:00"/>
    <x v="9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3"/>
    <d v="2021-05-05T00:00:00"/>
    <d v="2021-05-24T00:00:00"/>
    <x v="9"/>
    <n v="9"/>
    <n v="6"/>
    <n v="3.7029508747261031"/>
    <n v="6.1637282811749872"/>
    <n v="36.982369687049925"/>
    <n v="22.217705248356619"/>
    <n v="14.764664438693305"/>
    <n v="0.47070489971024659"/>
    <n v="15.235369338403553"/>
    <n v="0"/>
    <n v="0"/>
    <n v="0"/>
    <n v="15.235369338403553"/>
  </r>
  <r>
    <x v="4"/>
    <d v="2021-06-03T00:00:00"/>
    <d v="2021-06-24T00:00:00"/>
    <x v="9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5"/>
    <d v="2021-07-06T00:00:00"/>
    <d v="2021-07-24T00:00:00"/>
    <x v="9"/>
    <n v="9"/>
    <n v="13"/>
    <n v="3.7029508747261031"/>
    <n v="6.1637282811749872"/>
    <n v="80.128467655274832"/>
    <n v="48.138361371439338"/>
    <n v="31.990106283835495"/>
    <n v="1.0198606160388677"/>
    <n v="33.009966899874364"/>
    <n v="0"/>
    <n v="0"/>
    <n v="0"/>
    <n v="33.009966899874364"/>
  </r>
  <r>
    <x v="6"/>
    <d v="2021-08-04T00:00:00"/>
    <d v="2021-08-24T00:00:00"/>
    <x v="9"/>
    <n v="9"/>
    <n v="17"/>
    <n v="3.7029508747261031"/>
    <n v="6.1637282811749872"/>
    <n v="104.78338077997478"/>
    <n v="62.950164870343755"/>
    <n v="41.833215909631022"/>
    <n v="1.3336638825123655"/>
    <n v="43.166879792143391"/>
    <n v="0"/>
    <n v="0"/>
    <n v="0"/>
    <n v="43.166879792143391"/>
  </r>
  <r>
    <x v="7"/>
    <d v="2021-09-03T00:00:00"/>
    <d v="2021-09-24T00:00:00"/>
    <x v="9"/>
    <n v="9"/>
    <n v="17"/>
    <n v="3.7029508747261031"/>
    <n v="6.1637282811749872"/>
    <n v="104.78338077997478"/>
    <n v="62.950164870343755"/>
    <n v="41.833215909631022"/>
    <n v="1.3336638825123655"/>
    <n v="43.166879792143391"/>
    <n v="0"/>
    <n v="0"/>
    <n v="0"/>
    <n v="43.166879792143391"/>
  </r>
  <r>
    <x v="8"/>
    <d v="2021-10-05T00:00:00"/>
    <d v="2021-10-25T00:00:00"/>
    <x v="9"/>
    <n v="9"/>
    <n v="16"/>
    <n v="3.7029508747261031"/>
    <n v="6.1637282811749872"/>
    <n v="98.619652498799795"/>
    <n v="59.247213995617649"/>
    <n v="39.372438503182146"/>
    <n v="1.2552130658939908"/>
    <n v="40.627651569076136"/>
    <n v="0"/>
    <n v="0"/>
    <n v="0"/>
    <n v="40.627651569076136"/>
  </r>
  <r>
    <x v="9"/>
    <d v="2021-11-03T00:00:00"/>
    <d v="2021-11-24T00:00:00"/>
    <x v="9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10"/>
    <d v="2021-12-03T00:00:00"/>
    <d v="2021-12-27T00:00:00"/>
    <x v="9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11"/>
    <d v="2022-01-05T00:00:00"/>
    <d v="2022-01-24T00:00:00"/>
    <x v="9"/>
    <n v="9"/>
    <n v="6"/>
    <n v="3.7029508747261031"/>
    <n v="6.1637282811749872"/>
    <n v="36.982369687049925"/>
    <n v="22.217705248356619"/>
    <n v="14.764664438693305"/>
    <n v="0.47070489971024659"/>
    <n v="15.235369338403553"/>
    <n v="0"/>
    <n v="0"/>
    <n v="0"/>
    <n v="15.235369338403553"/>
  </r>
  <r>
    <x v="0"/>
    <d v="2021-02-03T00:00:00"/>
    <d v="2021-02-24T00:00:00"/>
    <x v="10"/>
    <n v="9"/>
    <n v="3"/>
    <n v="3.7029508747261031"/>
    <n v="6.1637282811749872"/>
    <n v="18.491184843524962"/>
    <n v="11.10885262417831"/>
    <n v="7.3823322193466527"/>
    <n v="0.2353524498551233"/>
    <n v="7.6176846692017763"/>
    <n v="0"/>
    <n v="0"/>
    <n v="0"/>
    <n v="7.6176846692017763"/>
  </r>
  <r>
    <x v="1"/>
    <d v="2021-03-03T00:00:00"/>
    <d v="2021-03-24T00:00:00"/>
    <x v="10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2"/>
    <d v="2021-04-05T00:00:00"/>
    <d v="2021-04-26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3"/>
    <d v="2021-05-05T00:00:00"/>
    <d v="2021-05-24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4"/>
    <d v="2021-06-03T00:00:00"/>
    <d v="2021-06-24T00:00:00"/>
    <x v="10"/>
    <n v="9"/>
    <n v="3"/>
    <n v="3.7029508747261031"/>
    <n v="6.1637282811749872"/>
    <n v="18.491184843524962"/>
    <n v="11.10885262417831"/>
    <n v="7.3823322193466527"/>
    <n v="0.2353524498551233"/>
    <n v="7.6176846692017763"/>
    <n v="0"/>
    <n v="0"/>
    <n v="0"/>
    <n v="7.6176846692017763"/>
  </r>
  <r>
    <x v="5"/>
    <d v="2021-07-06T00:00:00"/>
    <d v="2021-07-24T00:00:00"/>
    <x v="10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6"/>
    <d v="2021-08-04T00:00:00"/>
    <d v="2021-08-24T00:00:00"/>
    <x v="10"/>
    <n v="9"/>
    <n v="5"/>
    <n v="3.7029508747261031"/>
    <n v="6.1637282811749872"/>
    <n v="30.818641405874935"/>
    <n v="18.514754373630517"/>
    <n v="12.303887032244418"/>
    <n v="0.39225408309187215"/>
    <n v="12.696141115336291"/>
    <n v="0"/>
    <n v="0"/>
    <n v="0"/>
    <n v="12.696141115336291"/>
  </r>
  <r>
    <x v="7"/>
    <d v="2021-09-03T00:00:00"/>
    <d v="2021-09-24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8"/>
    <d v="2021-10-05T00:00:00"/>
    <d v="2021-10-25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9"/>
    <d v="2021-11-03T00:00:00"/>
    <d v="2021-11-24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10"/>
    <d v="2021-12-03T00:00:00"/>
    <d v="2021-12-27T00:00:00"/>
    <x v="10"/>
    <n v="9"/>
    <n v="4"/>
    <n v="3.7029508747261031"/>
    <n v="6.1637282811749872"/>
    <n v="24.654913124699949"/>
    <n v="14.811803498904412"/>
    <n v="9.8431096257955364"/>
    <n v="0.31380326647349771"/>
    <n v="10.156912892269034"/>
    <n v="0"/>
    <n v="0"/>
    <n v="0"/>
    <n v="10.156912892269034"/>
  </r>
  <r>
    <x v="11"/>
    <d v="2022-01-05T00:00:00"/>
    <d v="2022-01-24T00:00:00"/>
    <x v="10"/>
    <n v="9"/>
    <n v="1"/>
    <n v="3.7029508747261031"/>
    <n v="6.1637282811749872"/>
    <n v="6.1637282811749872"/>
    <n v="3.7029508747261031"/>
    <n v="2.4607774064488841"/>
    <n v="7.8450816618374428E-2"/>
    <n v="2.5392282230672585"/>
    <n v="0"/>
    <n v="0"/>
    <n v="0"/>
    <n v="2.5392282230672585"/>
  </r>
  <r>
    <x v="0"/>
    <d v="2021-02-03T00:00:00"/>
    <d v="2021-02-24T00:00:00"/>
    <x v="11"/>
    <n v="9"/>
    <n v="104"/>
    <n v="3.7029508747261031"/>
    <n v="6.1637282811749872"/>
    <n v="641.02774124219866"/>
    <n v="385.1068909715147"/>
    <n v="255.92085027068396"/>
    <n v="8.1588849283109415"/>
    <n v="264.07973519899491"/>
    <n v="0"/>
    <n v="0"/>
    <n v="0"/>
    <n v="264.07973519899491"/>
  </r>
  <r>
    <x v="1"/>
    <d v="2021-03-03T00:00:00"/>
    <d v="2021-03-24T00:00:00"/>
    <x v="11"/>
    <n v="9"/>
    <n v="133"/>
    <n v="3.7029508747261031"/>
    <n v="6.1637282811749872"/>
    <n v="819.77586139627329"/>
    <n v="492.49246633857172"/>
    <n v="327.28339505770157"/>
    <n v="10.433958610243799"/>
    <n v="337.71735366794536"/>
    <n v="0"/>
    <n v="0"/>
    <n v="0"/>
    <n v="337.71735366794536"/>
  </r>
  <r>
    <x v="2"/>
    <d v="2021-04-05T00:00:00"/>
    <d v="2021-04-26T00:00:00"/>
    <x v="11"/>
    <n v="9"/>
    <n v="87"/>
    <n v="3.7029508747261031"/>
    <n v="6.1637282811749872"/>
    <n v="536.24436046222388"/>
    <n v="322.15672610117099"/>
    <n v="214.08763436105289"/>
    <n v="6.8252210457985765"/>
    <n v="220.91285540685146"/>
    <n v="0"/>
    <n v="0"/>
    <n v="0"/>
    <n v="220.91285540685146"/>
  </r>
  <r>
    <x v="3"/>
    <d v="2021-05-05T00:00:00"/>
    <d v="2021-05-24T00:00:00"/>
    <x v="11"/>
    <n v="9"/>
    <n v="77"/>
    <n v="3.7029508747261031"/>
    <n v="6.1637282811749872"/>
    <n v="474.60707765047403"/>
    <n v="285.12721735390994"/>
    <n v="189.47986029656408"/>
    <n v="6.0407128796148317"/>
    <n v="195.52057317617891"/>
    <n v="0"/>
    <n v="0"/>
    <n v="0"/>
    <n v="195.52057317617891"/>
  </r>
  <r>
    <x v="4"/>
    <d v="2021-06-03T00:00:00"/>
    <d v="2021-06-24T00:00:00"/>
    <x v="11"/>
    <n v="9"/>
    <n v="104"/>
    <n v="3.7029508747261031"/>
    <n v="6.1637282811749872"/>
    <n v="641.02774124219866"/>
    <n v="385.1068909715147"/>
    <n v="255.92085027068396"/>
    <n v="8.1588849283109415"/>
    <n v="264.07973519899491"/>
    <n v="0"/>
    <n v="0"/>
    <n v="0"/>
    <n v="264.07973519899491"/>
  </r>
  <r>
    <x v="5"/>
    <d v="2021-07-06T00:00:00"/>
    <d v="2021-07-24T00:00:00"/>
    <x v="11"/>
    <n v="9"/>
    <n v="144"/>
    <n v="3.7029508747261031"/>
    <n v="6.1637282811749872"/>
    <n v="887.57687248919819"/>
    <n v="533.22492596055883"/>
    <n v="354.35194652863936"/>
    <n v="11.296917593045919"/>
    <n v="365.64886412168528"/>
    <n v="0"/>
    <n v="0"/>
    <n v="0"/>
    <n v="365.64886412168528"/>
  </r>
  <r>
    <x v="6"/>
    <d v="2021-08-04T00:00:00"/>
    <d v="2021-08-24T00:00:00"/>
    <x v="11"/>
    <n v="9"/>
    <n v="161"/>
    <n v="3.7029508747261031"/>
    <n v="6.1637282811749872"/>
    <n v="992.36025326917297"/>
    <n v="596.1750908309026"/>
    <n v="396.18516243827037"/>
    <n v="12.630581475558284"/>
    <n v="408.81574391382867"/>
    <n v="0"/>
    <n v="0"/>
    <n v="0"/>
    <n v="408.81574391382867"/>
  </r>
  <r>
    <x v="7"/>
    <d v="2021-09-03T00:00:00"/>
    <d v="2021-09-24T00:00:00"/>
    <x v="11"/>
    <n v="9"/>
    <n v="163"/>
    <n v="3.7029508747261031"/>
    <n v="6.1637282811749872"/>
    <n v="1004.6877098315229"/>
    <n v="603.58099258035475"/>
    <n v="401.10671725116811"/>
    <n v="12.787483108795032"/>
    <n v="413.89420035996312"/>
    <n v="0"/>
    <n v="0"/>
    <n v="0"/>
    <n v="413.89420035996312"/>
  </r>
  <r>
    <x v="8"/>
    <d v="2021-10-05T00:00:00"/>
    <d v="2021-10-25T00:00:00"/>
    <x v="11"/>
    <n v="9"/>
    <n v="153"/>
    <n v="3.7029508747261031"/>
    <n v="6.1637282811749872"/>
    <n v="943.050427019773"/>
    <n v="566.55148383309381"/>
    <n v="376.49894318667918"/>
    <n v="12.002974942611289"/>
    <n v="388.50191812929046"/>
    <n v="0"/>
    <n v="0"/>
    <n v="0"/>
    <n v="388.50191812929046"/>
  </r>
  <r>
    <x v="9"/>
    <d v="2021-11-03T00:00:00"/>
    <d v="2021-11-24T00:00:00"/>
    <x v="11"/>
    <n v="9"/>
    <n v="117"/>
    <n v="3.7029508747261031"/>
    <n v="6.1637282811749872"/>
    <n v="721.15620889747345"/>
    <n v="433.24525234295407"/>
    <n v="287.91095655451937"/>
    <n v="9.1787455443498089"/>
    <n v="297.08970209886917"/>
    <n v="0"/>
    <n v="0"/>
    <n v="0"/>
    <n v="297.08970209886917"/>
  </r>
  <r>
    <x v="10"/>
    <d v="2021-12-03T00:00:00"/>
    <d v="2021-12-27T00:00:00"/>
    <x v="11"/>
    <n v="9"/>
    <n v="91"/>
    <n v="3.7029508747261031"/>
    <n v="6.1637282811749872"/>
    <n v="560.89927358692387"/>
    <n v="336.96852960007539"/>
    <n v="223.93074398684848"/>
    <n v="7.139024312272074"/>
    <n v="231.06976829912057"/>
    <n v="0"/>
    <n v="0"/>
    <n v="0"/>
    <n v="231.06976829912057"/>
  </r>
  <r>
    <x v="11"/>
    <d v="2022-01-05T00:00:00"/>
    <d v="2022-01-24T00:00:00"/>
    <x v="11"/>
    <n v="9"/>
    <n v="94"/>
    <n v="3.7029508747261031"/>
    <n v="6.1637282811749872"/>
    <n v="579.3904584304488"/>
    <n v="348.07738222425371"/>
    <n v="231.31307620619509"/>
    <n v="7.3743767621271967"/>
    <n v="238.68745296832228"/>
    <n v="0"/>
    <n v="0"/>
    <n v="0"/>
    <n v="238.68745296832228"/>
  </r>
  <r>
    <x v="0"/>
    <d v="2021-02-03T00:00:00"/>
    <d v="2021-02-24T00:00:00"/>
    <x v="12"/>
    <n v="9"/>
    <n v="11"/>
    <n v="3.7029508747261031"/>
    <n v="6.1637282811749872"/>
    <n v="67.801011092924853"/>
    <n v="40.732459621987132"/>
    <n v="27.06855147093772"/>
    <n v="0.8629589828021188"/>
    <n v="27.93151045373984"/>
    <n v="0"/>
    <n v="0"/>
    <n v="0"/>
    <n v="27.93151045373984"/>
  </r>
  <r>
    <x v="1"/>
    <d v="2021-03-03T00:00:00"/>
    <d v="2021-03-24T00:00:00"/>
    <x v="12"/>
    <n v="9"/>
    <n v="8"/>
    <n v="3.7029508747261031"/>
    <n v="6.1637282811749872"/>
    <n v="49.309826249399897"/>
    <n v="29.623606997808825"/>
    <n v="19.686219251591073"/>
    <n v="0.62760653294699542"/>
    <n v="20.313825784538068"/>
    <n v="0"/>
    <n v="0"/>
    <n v="0"/>
    <n v="20.313825784538068"/>
  </r>
  <r>
    <x v="2"/>
    <d v="2021-04-05T00:00:00"/>
    <d v="2021-04-26T00:00:00"/>
    <x v="12"/>
    <n v="9"/>
    <n v="7"/>
    <n v="3.7029508747261031"/>
    <n v="6.1637282811749872"/>
    <n v="43.146097968224908"/>
    <n v="25.920656123082722"/>
    <n v="17.225441845142186"/>
    <n v="0.54915571632862104"/>
    <n v="17.774597561470806"/>
    <n v="0"/>
    <n v="0"/>
    <n v="0"/>
    <n v="17.774597561470806"/>
  </r>
  <r>
    <x v="3"/>
    <d v="2021-05-05T00:00:00"/>
    <d v="2021-05-24T00:00:00"/>
    <x v="12"/>
    <n v="9"/>
    <n v="12"/>
    <n v="3.7029508747261031"/>
    <n v="6.1637282811749872"/>
    <n v="73.96473937409985"/>
    <n v="44.435410496713239"/>
    <n v="29.529328877386611"/>
    <n v="0.94140979942049319"/>
    <n v="30.470738676807105"/>
    <n v="0"/>
    <n v="0"/>
    <n v="0"/>
    <n v="30.470738676807105"/>
  </r>
  <r>
    <x v="4"/>
    <d v="2021-06-03T00:00:00"/>
    <d v="2021-06-24T00:00:00"/>
    <x v="12"/>
    <n v="9"/>
    <n v="11"/>
    <n v="3.7029508747261031"/>
    <n v="6.1637282811749872"/>
    <n v="67.801011092924853"/>
    <n v="40.732459621987132"/>
    <n v="27.06855147093772"/>
    <n v="0.8629589828021188"/>
    <n v="27.93151045373984"/>
    <n v="0"/>
    <n v="0"/>
    <n v="0"/>
    <n v="27.93151045373984"/>
  </r>
  <r>
    <x v="5"/>
    <d v="2021-07-06T00:00:00"/>
    <d v="2021-07-24T00:00:00"/>
    <x v="12"/>
    <n v="9"/>
    <n v="13"/>
    <n v="3.7029508747261031"/>
    <n v="6.1637282811749872"/>
    <n v="80.128467655274832"/>
    <n v="48.138361371439338"/>
    <n v="31.990106283835495"/>
    <n v="1.0198606160388677"/>
    <n v="33.009966899874364"/>
    <n v="0"/>
    <n v="0"/>
    <n v="0"/>
    <n v="33.009966899874364"/>
  </r>
  <r>
    <x v="6"/>
    <d v="2021-08-04T00:00:00"/>
    <d v="2021-08-24T00:00:00"/>
    <x v="12"/>
    <n v="9"/>
    <n v="13"/>
    <n v="3.7029508747261031"/>
    <n v="6.1637282811749872"/>
    <n v="80.128467655274832"/>
    <n v="48.138361371439338"/>
    <n v="31.990106283835495"/>
    <n v="1.0198606160388677"/>
    <n v="33.009966899874364"/>
    <n v="0"/>
    <n v="0"/>
    <n v="0"/>
    <n v="33.009966899874364"/>
  </r>
  <r>
    <x v="7"/>
    <d v="2021-09-03T00:00:00"/>
    <d v="2021-09-24T00:00:00"/>
    <x v="12"/>
    <n v="9"/>
    <n v="12"/>
    <n v="3.7029508747261031"/>
    <n v="6.1637282811749872"/>
    <n v="73.96473937409985"/>
    <n v="44.435410496713239"/>
    <n v="29.529328877386611"/>
    <n v="0.94140979942049319"/>
    <n v="30.470738676807105"/>
    <n v="0"/>
    <n v="0"/>
    <n v="0"/>
    <n v="30.470738676807105"/>
  </r>
  <r>
    <x v="8"/>
    <d v="2021-10-05T00:00:00"/>
    <d v="2021-10-25T00:00:00"/>
    <x v="12"/>
    <n v="9"/>
    <n v="13"/>
    <n v="3.7029508747261031"/>
    <n v="6.1637282811749872"/>
    <n v="80.128467655274832"/>
    <n v="48.138361371439338"/>
    <n v="31.990106283835495"/>
    <n v="1.0198606160388677"/>
    <n v="33.009966899874364"/>
    <n v="0"/>
    <n v="0"/>
    <n v="0"/>
    <n v="33.009966899874364"/>
  </r>
  <r>
    <x v="9"/>
    <d v="2021-11-03T00:00:00"/>
    <d v="2021-11-24T00:00:00"/>
    <x v="12"/>
    <n v="9"/>
    <n v="8"/>
    <n v="3.7029508747261031"/>
    <n v="6.1637282811749872"/>
    <n v="49.309826249399897"/>
    <n v="29.623606997808825"/>
    <n v="19.686219251591073"/>
    <n v="0.62760653294699542"/>
    <n v="20.313825784538068"/>
    <n v="0"/>
    <n v="0"/>
    <n v="0"/>
    <n v="20.313825784538068"/>
  </r>
  <r>
    <x v="10"/>
    <d v="2021-12-03T00:00:00"/>
    <d v="2021-12-27T00:00:00"/>
    <x v="12"/>
    <n v="9"/>
    <n v="8"/>
    <n v="3.7029508747261031"/>
    <n v="6.1637282811749872"/>
    <n v="49.309826249399897"/>
    <n v="29.623606997808825"/>
    <n v="19.686219251591073"/>
    <n v="0.62760653294699542"/>
    <n v="20.313825784538068"/>
    <n v="0"/>
    <n v="0"/>
    <n v="0"/>
    <n v="20.313825784538068"/>
  </r>
  <r>
    <x v="11"/>
    <d v="2022-01-05T00:00:00"/>
    <d v="2022-01-24T00:00:00"/>
    <x v="12"/>
    <n v="9"/>
    <n v="11"/>
    <n v="3.7029508747261031"/>
    <n v="6.1637282811749872"/>
    <n v="67.801011092924853"/>
    <n v="40.732459621987132"/>
    <n v="27.06855147093772"/>
    <n v="0.8629589828021188"/>
    <n v="27.93151045373984"/>
    <n v="0"/>
    <n v="0"/>
    <n v="0"/>
    <n v="27.93151045373984"/>
  </r>
  <r>
    <x v="0"/>
    <d v="2021-02-03T00:00:00"/>
    <d v="2021-02-24T00:00:00"/>
    <x v="13"/>
    <n v="9"/>
    <n v="20"/>
    <n v="3.7029508747261031"/>
    <n v="6.1637282811749872"/>
    <n v="123.27456562349974"/>
    <n v="74.059017494522067"/>
    <n v="49.215548128977673"/>
    <n v="1.5690163323674886"/>
    <n v="50.784564461345163"/>
    <n v="0"/>
    <n v="0"/>
    <n v="0"/>
    <n v="50.784564461345163"/>
  </r>
  <r>
    <x v="1"/>
    <d v="2021-03-03T00:00:00"/>
    <d v="2021-03-24T00:00:00"/>
    <x v="13"/>
    <n v="9"/>
    <n v="23"/>
    <n v="3.7029508747261031"/>
    <n v="6.1637282811749872"/>
    <n v="141.7657504670247"/>
    <n v="85.167870118700364"/>
    <n v="56.597880348324338"/>
    <n v="1.804368782222612"/>
    <n v="58.402249130546949"/>
    <n v="0"/>
    <n v="0"/>
    <n v="0"/>
    <n v="58.402249130546949"/>
  </r>
  <r>
    <x v="2"/>
    <d v="2021-04-05T00:00:00"/>
    <d v="2021-04-26T00:00:00"/>
    <x v="13"/>
    <n v="9"/>
    <n v="16"/>
    <n v="3.7029508747261031"/>
    <n v="6.1637282811749872"/>
    <n v="98.619652498799795"/>
    <n v="59.247213995617649"/>
    <n v="39.372438503182146"/>
    <n v="1.2552130658939908"/>
    <n v="40.627651569076136"/>
    <n v="0"/>
    <n v="0"/>
    <n v="0"/>
    <n v="40.627651569076136"/>
  </r>
  <r>
    <x v="3"/>
    <d v="2021-05-05T00:00:00"/>
    <d v="2021-05-24T00:00:00"/>
    <x v="13"/>
    <n v="9"/>
    <n v="20"/>
    <n v="3.7029508747261031"/>
    <n v="6.1637282811749872"/>
    <n v="123.27456562349974"/>
    <n v="74.059017494522067"/>
    <n v="49.215548128977673"/>
    <n v="1.5690163323674886"/>
    <n v="50.784564461345163"/>
    <n v="0"/>
    <n v="0"/>
    <n v="0"/>
    <n v="50.784564461345163"/>
  </r>
  <r>
    <x v="4"/>
    <d v="2021-06-03T00:00:00"/>
    <d v="2021-06-24T00:00:00"/>
    <x v="13"/>
    <n v="9"/>
    <n v="27"/>
    <n v="3.7029508747261031"/>
    <n v="6.1637282811749872"/>
    <n v="166.42066359172466"/>
    <n v="99.979673617604789"/>
    <n v="66.440989974119873"/>
    <n v="2.1181720486961098"/>
    <n v="68.559162022815983"/>
    <n v="0"/>
    <n v="0"/>
    <n v="0"/>
    <n v="68.559162022815983"/>
  </r>
  <r>
    <x v="5"/>
    <d v="2021-07-06T00:00:00"/>
    <d v="2021-07-24T00:00:00"/>
    <x v="13"/>
    <n v="9"/>
    <n v="32"/>
    <n v="3.7029508747261031"/>
    <n v="6.1637282811749872"/>
    <n v="197.23930499759959"/>
    <n v="118.4944279912353"/>
    <n v="78.744877006364291"/>
    <n v="2.5104261317879817"/>
    <n v="81.255303138152271"/>
    <n v="0"/>
    <n v="0"/>
    <n v="0"/>
    <n v="81.255303138152271"/>
  </r>
  <r>
    <x v="6"/>
    <d v="2021-08-04T00:00:00"/>
    <d v="2021-08-24T00:00:00"/>
    <x v="13"/>
    <n v="9"/>
    <n v="37"/>
    <n v="3.7029508747261031"/>
    <n v="6.1637282811749872"/>
    <n v="228.05794640347452"/>
    <n v="137.00918236486581"/>
    <n v="91.048764038608709"/>
    <n v="2.9026802148798541"/>
    <n v="93.95144425348856"/>
    <n v="0"/>
    <n v="0"/>
    <n v="0"/>
    <n v="93.95144425348856"/>
  </r>
  <r>
    <x v="7"/>
    <d v="2021-09-03T00:00:00"/>
    <d v="2021-09-24T00:00:00"/>
    <x v="13"/>
    <n v="9"/>
    <n v="33"/>
    <n v="3.7029508747261031"/>
    <n v="6.1637282811749872"/>
    <n v="203.40303327877459"/>
    <n v="122.1973788659614"/>
    <n v="81.205654412813189"/>
    <n v="2.5888769484063561"/>
    <n v="83.794531361219541"/>
    <n v="0"/>
    <n v="0"/>
    <n v="0"/>
    <n v="83.794531361219541"/>
  </r>
  <r>
    <x v="8"/>
    <d v="2021-10-05T00:00:00"/>
    <d v="2021-10-25T00:00:00"/>
    <x v="13"/>
    <n v="9"/>
    <n v="37"/>
    <n v="3.7029508747261031"/>
    <n v="6.1637282811749872"/>
    <n v="228.05794640347452"/>
    <n v="137.00918236486581"/>
    <n v="91.048764038608709"/>
    <n v="2.9026802148798541"/>
    <n v="93.95144425348856"/>
    <n v="0"/>
    <n v="0"/>
    <n v="0"/>
    <n v="93.95144425348856"/>
  </r>
  <r>
    <x v="9"/>
    <d v="2021-11-03T00:00:00"/>
    <d v="2021-11-24T00:00:00"/>
    <x v="13"/>
    <n v="9"/>
    <n v="27"/>
    <n v="3.7029508747261031"/>
    <n v="6.1637282811749872"/>
    <n v="166.42066359172466"/>
    <n v="99.979673617604789"/>
    <n v="66.440989974119873"/>
    <n v="2.1181720486961098"/>
    <n v="68.559162022815983"/>
    <n v="0"/>
    <n v="0"/>
    <n v="0"/>
    <n v="68.559162022815983"/>
  </r>
  <r>
    <x v="10"/>
    <d v="2021-12-03T00:00:00"/>
    <d v="2021-12-27T00:00:00"/>
    <x v="13"/>
    <n v="9"/>
    <n v="16"/>
    <n v="3.7029508747261031"/>
    <n v="6.1637282811749872"/>
    <n v="98.619652498799795"/>
    <n v="59.247213995617649"/>
    <n v="39.372438503182146"/>
    <n v="1.2552130658939908"/>
    <n v="40.627651569076136"/>
    <n v="0"/>
    <n v="0"/>
    <n v="0"/>
    <n v="40.627651569076136"/>
  </r>
  <r>
    <x v="11"/>
    <d v="2022-01-05T00:00:00"/>
    <d v="2022-01-24T00:00:00"/>
    <x v="13"/>
    <n v="9"/>
    <n v="19"/>
    <n v="3.7029508747261031"/>
    <n v="6.1637282811749872"/>
    <n v="117.11083734232476"/>
    <n v="70.356066619795953"/>
    <n v="46.754770722528804"/>
    <n v="1.4905655157491142"/>
    <n v="48.245336238277915"/>
    <n v="0"/>
    <n v="0"/>
    <n v="0"/>
    <n v="48.245336238277915"/>
  </r>
  <r>
    <x v="0"/>
    <d v="2021-02-03T00:00:00"/>
    <d v="2021-02-24T00:00:00"/>
    <x v="14"/>
    <n v="9"/>
    <n v="35"/>
    <n v="3.7029508747261031"/>
    <n v="6.1637282811749872"/>
    <n v="215.73048984112455"/>
    <n v="129.60328061541361"/>
    <n v="86.127209225710942"/>
    <n v="2.7457785816431053"/>
    <n v="88.87298780735405"/>
    <n v="0"/>
    <n v="0"/>
    <n v="0"/>
    <n v="88.87298780735405"/>
  </r>
  <r>
    <x v="1"/>
    <d v="2021-03-03T00:00:00"/>
    <d v="2021-03-24T00:00:00"/>
    <x v="14"/>
    <n v="9"/>
    <n v="33"/>
    <n v="3.7029508747261031"/>
    <n v="6.1637282811749872"/>
    <n v="203.40303327877459"/>
    <n v="122.1973788659614"/>
    <n v="81.205654412813189"/>
    <n v="2.5888769484063561"/>
    <n v="83.794531361219541"/>
    <n v="0"/>
    <n v="0"/>
    <n v="0"/>
    <n v="83.794531361219541"/>
  </r>
  <r>
    <x v="2"/>
    <d v="2021-04-05T00:00:00"/>
    <d v="2021-04-26T00:00:00"/>
    <x v="14"/>
    <n v="9"/>
    <n v="30"/>
    <n v="3.7029508747261031"/>
    <n v="6.1637282811749872"/>
    <n v="184.91184843524962"/>
    <n v="111.08852624178309"/>
    <n v="73.823322193466538"/>
    <n v="2.3535244985512329"/>
    <n v="76.176846692017776"/>
    <n v="0"/>
    <n v="0"/>
    <n v="0"/>
    <n v="76.176846692017776"/>
  </r>
  <r>
    <x v="3"/>
    <d v="2021-05-05T00:00:00"/>
    <d v="2021-05-24T00:00:00"/>
    <x v="14"/>
    <n v="9"/>
    <n v="32"/>
    <n v="3.7029508747261031"/>
    <n v="6.1637282811749872"/>
    <n v="197.23930499759959"/>
    <n v="118.4944279912353"/>
    <n v="78.744877006364291"/>
    <n v="2.5104261317879817"/>
    <n v="81.255303138152271"/>
    <n v="0"/>
    <n v="0"/>
    <n v="0"/>
    <n v="81.255303138152271"/>
  </r>
  <r>
    <x v="4"/>
    <d v="2021-06-03T00:00:00"/>
    <d v="2021-06-24T00:00:00"/>
    <x v="14"/>
    <n v="9"/>
    <n v="40"/>
    <n v="3.7029508747261031"/>
    <n v="6.1637282811749872"/>
    <n v="246.54913124699948"/>
    <n v="148.11803498904413"/>
    <n v="98.431096257955346"/>
    <n v="3.1380326647349772"/>
    <n v="101.56912892269033"/>
    <n v="0"/>
    <n v="0"/>
    <n v="0"/>
    <n v="101.56912892269033"/>
  </r>
  <r>
    <x v="5"/>
    <d v="2021-07-06T00:00:00"/>
    <d v="2021-07-24T00:00:00"/>
    <x v="14"/>
    <n v="9"/>
    <n v="46"/>
    <n v="3.7029508747261031"/>
    <n v="6.1637282811749872"/>
    <n v="283.5315009340494"/>
    <n v="170.33574023740073"/>
    <n v="113.19576069664868"/>
    <n v="3.608737564445224"/>
    <n v="116.8044982610939"/>
    <n v="0"/>
    <n v="0"/>
    <n v="0"/>
    <n v="116.8044982610939"/>
  </r>
  <r>
    <x v="6"/>
    <d v="2021-08-04T00:00:00"/>
    <d v="2021-08-24T00:00:00"/>
    <x v="14"/>
    <n v="9"/>
    <n v="48"/>
    <n v="3.7029508747261031"/>
    <n v="6.1637282811749872"/>
    <n v="295.8589574963994"/>
    <n v="177.74164198685295"/>
    <n v="118.11731550954644"/>
    <n v="3.7656391976819727"/>
    <n v="121.88295470722842"/>
    <n v="0"/>
    <n v="0"/>
    <n v="0"/>
    <n v="121.88295470722842"/>
  </r>
  <r>
    <x v="7"/>
    <d v="2021-09-03T00:00:00"/>
    <d v="2021-09-24T00:00:00"/>
    <x v="14"/>
    <n v="9"/>
    <n v="50"/>
    <n v="3.7029508747261031"/>
    <n v="6.1637282811749872"/>
    <n v="308.18641405874934"/>
    <n v="185.14754373630515"/>
    <n v="123.03887032244418"/>
    <n v="3.922540830918722"/>
    <n v="126.9614111533629"/>
    <n v="0"/>
    <n v="0"/>
    <n v="0"/>
    <n v="126.9614111533629"/>
  </r>
  <r>
    <x v="8"/>
    <d v="2021-10-05T00:00:00"/>
    <d v="2021-10-25T00:00:00"/>
    <x v="14"/>
    <n v="9"/>
    <n v="52"/>
    <n v="3.7029508747261031"/>
    <n v="6.1637282811749872"/>
    <n v="320.51387062109933"/>
    <n v="192.55344548575735"/>
    <n v="127.96042513534198"/>
    <n v="4.0794424641554707"/>
    <n v="132.03986759949746"/>
    <n v="0"/>
    <n v="0"/>
    <n v="0"/>
    <n v="132.03986759949746"/>
  </r>
  <r>
    <x v="9"/>
    <d v="2021-11-03T00:00:00"/>
    <d v="2021-11-24T00:00:00"/>
    <x v="14"/>
    <n v="9"/>
    <n v="40"/>
    <n v="3.7029508747261031"/>
    <n v="6.1637282811749872"/>
    <n v="246.54913124699948"/>
    <n v="148.11803498904413"/>
    <n v="98.431096257955346"/>
    <n v="3.1380326647349772"/>
    <n v="101.56912892269033"/>
    <n v="0"/>
    <n v="0"/>
    <n v="0"/>
    <n v="101.56912892269033"/>
  </r>
  <r>
    <x v="10"/>
    <d v="2021-12-03T00:00:00"/>
    <d v="2021-12-27T00:00:00"/>
    <x v="14"/>
    <n v="9"/>
    <n v="32"/>
    <n v="3.7029508747261031"/>
    <n v="6.1637282811749872"/>
    <n v="197.23930499759959"/>
    <n v="118.4944279912353"/>
    <n v="78.744877006364291"/>
    <n v="2.5104261317879817"/>
    <n v="81.255303138152271"/>
    <n v="0"/>
    <n v="0"/>
    <n v="0"/>
    <n v="81.255303138152271"/>
  </r>
  <r>
    <x v="11"/>
    <d v="2022-01-05T00:00:00"/>
    <d v="2022-01-24T00:00:00"/>
    <x v="14"/>
    <n v="9"/>
    <n v="35"/>
    <n v="3.7029508747261031"/>
    <n v="6.1637282811749872"/>
    <n v="215.73048984112455"/>
    <n v="129.60328061541361"/>
    <n v="86.127209225710942"/>
    <n v="2.7457785816431053"/>
    <n v="88.87298780735405"/>
    <n v="0"/>
    <n v="0"/>
    <n v="0"/>
    <n v="88.87298780735405"/>
  </r>
  <r>
    <x v="0"/>
    <d v="2021-02-03T00:00:00"/>
    <d v="2021-02-24T00:00:00"/>
    <x v="15"/>
    <n v="9"/>
    <n v="94"/>
    <n v="3.7029508747261031"/>
    <n v="6.1637282811749872"/>
    <n v="579.3904584304488"/>
    <n v="348.07738222425371"/>
    <n v="231.31307620619509"/>
    <n v="7.3743767621271967"/>
    <n v="238.68745296832228"/>
    <n v="0"/>
    <n v="0"/>
    <n v="0"/>
    <n v="238.68745296832228"/>
  </r>
  <r>
    <x v="1"/>
    <d v="2021-03-03T00:00:00"/>
    <d v="2021-03-24T00:00:00"/>
    <x v="15"/>
    <n v="9"/>
    <n v="100"/>
    <n v="3.7029508747261031"/>
    <n v="6.1637282811749872"/>
    <n v="616.37282811749867"/>
    <n v="370.29508747261031"/>
    <n v="246.07774064488837"/>
    <n v="7.8450816618374439"/>
    <n v="253.92282230672581"/>
    <n v="0"/>
    <n v="0"/>
    <n v="0"/>
    <n v="253.92282230672581"/>
  </r>
  <r>
    <x v="2"/>
    <d v="2021-04-05T00:00:00"/>
    <d v="2021-04-26T00:00:00"/>
    <x v="15"/>
    <n v="9"/>
    <n v="101"/>
    <n v="3.7029508747261031"/>
    <n v="6.1637282811749872"/>
    <n v="622.53655639867372"/>
    <n v="373.99803834733643"/>
    <n v="248.53851805133729"/>
    <n v="7.9235324784558188"/>
    <n v="256.46205052979309"/>
    <n v="0"/>
    <n v="0"/>
    <n v="0"/>
    <n v="256.46205052979309"/>
  </r>
  <r>
    <x v="3"/>
    <d v="2021-05-05T00:00:00"/>
    <d v="2021-05-24T00:00:00"/>
    <x v="15"/>
    <n v="9"/>
    <n v="98"/>
    <n v="3.7029508747261031"/>
    <n v="6.1637282811749872"/>
    <n v="604.04537155514879"/>
    <n v="362.88918572315811"/>
    <n v="241.15618583199068"/>
    <n v="7.6881800286006952"/>
    <n v="248.84436586059138"/>
    <n v="0"/>
    <n v="0"/>
    <n v="0"/>
    <n v="248.84436586059138"/>
  </r>
  <r>
    <x v="4"/>
    <d v="2021-06-03T00:00:00"/>
    <d v="2021-06-24T00:00:00"/>
    <x v="15"/>
    <n v="9"/>
    <n v="99"/>
    <n v="3.7029508747261031"/>
    <n v="6.1637282811749872"/>
    <n v="610.20909983632373"/>
    <n v="366.59213659788418"/>
    <n v="243.61696323843955"/>
    <n v="7.76663084521907"/>
    <n v="251.38359408365864"/>
    <n v="0"/>
    <n v="0"/>
    <n v="0"/>
    <n v="251.38359408365864"/>
  </r>
  <r>
    <x v="5"/>
    <d v="2021-07-06T00:00:00"/>
    <d v="2021-07-24T00:00:00"/>
    <x v="15"/>
    <n v="9"/>
    <n v="113"/>
    <n v="3.7029508747261031"/>
    <n v="6.1637282811749872"/>
    <n v="696.50129577277357"/>
    <n v="418.43344884404962"/>
    <n v="278.06784692872395"/>
    <n v="8.8649422778763114"/>
    <n v="286.93278920660026"/>
    <n v="0"/>
    <n v="0"/>
    <n v="0"/>
    <n v="286.93278920660026"/>
  </r>
  <r>
    <x v="6"/>
    <d v="2021-08-04T00:00:00"/>
    <d v="2021-08-24T00:00:00"/>
    <x v="15"/>
    <n v="9"/>
    <n v="116"/>
    <n v="3.7029508747261031"/>
    <n v="6.1637282811749872"/>
    <n v="714.99248061629851"/>
    <n v="429.54230146822795"/>
    <n v="285.45017914807056"/>
    <n v="9.1002947277314341"/>
    <n v="294.55047387580197"/>
    <n v="0"/>
    <n v="0"/>
    <n v="0"/>
    <n v="294.55047387580197"/>
  </r>
  <r>
    <x v="7"/>
    <d v="2021-09-03T00:00:00"/>
    <d v="2021-09-24T00:00:00"/>
    <x v="15"/>
    <n v="9"/>
    <n v="116"/>
    <n v="3.7029508747261031"/>
    <n v="6.1637282811749872"/>
    <n v="714.99248061629851"/>
    <n v="429.54230146822795"/>
    <n v="285.45017914807056"/>
    <n v="9.1002947277314341"/>
    <n v="294.55047387580197"/>
    <n v="0"/>
    <n v="0"/>
    <n v="0"/>
    <n v="294.55047387580197"/>
  </r>
  <r>
    <x v="8"/>
    <d v="2021-10-05T00:00:00"/>
    <d v="2021-10-25T00:00:00"/>
    <x v="15"/>
    <n v="9"/>
    <n v="116"/>
    <n v="3.7029508747261031"/>
    <n v="6.1637282811749872"/>
    <n v="714.99248061629851"/>
    <n v="429.54230146822795"/>
    <n v="285.45017914807056"/>
    <n v="9.1002947277314341"/>
    <n v="294.55047387580197"/>
    <n v="0"/>
    <n v="0"/>
    <n v="0"/>
    <n v="294.55047387580197"/>
  </r>
  <r>
    <x v="9"/>
    <d v="2021-11-03T00:00:00"/>
    <d v="2021-11-24T00:00:00"/>
    <x v="15"/>
    <n v="9"/>
    <n v="105"/>
    <n v="3.7029508747261031"/>
    <n v="6.1637282811749872"/>
    <n v="647.1914695233736"/>
    <n v="388.80984184624083"/>
    <n v="258.38162767713277"/>
    <n v="8.2373357449293163"/>
    <n v="266.61896342206211"/>
    <n v="0"/>
    <n v="0"/>
    <n v="0"/>
    <n v="266.61896342206211"/>
  </r>
  <r>
    <x v="10"/>
    <d v="2021-12-03T00:00:00"/>
    <d v="2021-12-27T00:00:00"/>
    <x v="15"/>
    <n v="9"/>
    <n v="100"/>
    <n v="3.7029508747261031"/>
    <n v="6.1637282811749872"/>
    <n v="616.37282811749867"/>
    <n v="370.29508747261031"/>
    <n v="246.07774064488837"/>
    <n v="7.8450816618374439"/>
    <n v="253.92282230672581"/>
    <n v="0"/>
    <n v="0"/>
    <n v="0"/>
    <n v="253.92282230672581"/>
  </r>
  <r>
    <x v="11"/>
    <d v="2022-01-05T00:00:00"/>
    <d v="2022-01-24T00:00:00"/>
    <x v="15"/>
    <n v="9"/>
    <n v="103"/>
    <n v="3.7029508747261031"/>
    <n v="6.1637282811749872"/>
    <n v="634.86401296102372"/>
    <n v="381.40394009678863"/>
    <n v="253.46007286423509"/>
    <n v="8.0804341116925666"/>
    <n v="261.54050697592766"/>
    <n v="0"/>
    <n v="0"/>
    <n v="0"/>
    <n v="261.540506975927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32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sqref="A1:IV65536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64</v>
      </c>
    </row>
    <row r="3" spans="1:2" x14ac:dyDescent="0.2">
      <c r="A3" s="2">
        <v>1</v>
      </c>
      <c r="B3" s="3" t="s">
        <v>66</v>
      </c>
    </row>
    <row r="4" spans="1:2" x14ac:dyDescent="0.2">
      <c r="A4" s="2">
        <v>2</v>
      </c>
      <c r="B4" s="3" t="s">
        <v>65</v>
      </c>
    </row>
    <row r="5" spans="1:2" x14ac:dyDescent="0.2">
      <c r="A5" s="2">
        <v>3</v>
      </c>
      <c r="B5" s="3" t="s">
        <v>67</v>
      </c>
    </row>
    <row r="6" spans="1:2" x14ac:dyDescent="0.2">
      <c r="A6" s="2">
        <v>4</v>
      </c>
      <c r="B6" s="4" t="s">
        <v>81</v>
      </c>
    </row>
    <row r="7" spans="1:2" x14ac:dyDescent="0.2">
      <c r="A7" s="2">
        <v>5</v>
      </c>
      <c r="B7" s="3" t="s">
        <v>68</v>
      </c>
    </row>
    <row r="8" spans="1:2" x14ac:dyDescent="0.2">
      <c r="A8" s="2">
        <v>6</v>
      </c>
      <c r="B8" s="3" t="s">
        <v>69</v>
      </c>
    </row>
    <row r="9" spans="1:2" x14ac:dyDescent="0.2">
      <c r="A9" s="2">
        <v>7</v>
      </c>
      <c r="B9" s="5" t="s">
        <v>70</v>
      </c>
    </row>
    <row r="10" spans="1:2" x14ac:dyDescent="0.2">
      <c r="A10" s="2">
        <v>8</v>
      </c>
      <c r="B10" s="3" t="s">
        <v>73</v>
      </c>
    </row>
    <row r="11" spans="1:2" x14ac:dyDescent="0.2">
      <c r="A11" s="2"/>
      <c r="B11" s="3" t="s">
        <v>74</v>
      </c>
    </row>
    <row r="12" spans="1:2" x14ac:dyDescent="0.2">
      <c r="A12" s="2"/>
      <c r="B12" s="5" t="s">
        <v>75</v>
      </c>
    </row>
    <row r="13" spans="1:2" x14ac:dyDescent="0.2">
      <c r="A13" s="2"/>
      <c r="B13" s="5" t="s">
        <v>76</v>
      </c>
    </row>
    <row r="14" spans="1:2" x14ac:dyDescent="0.2">
      <c r="A14" s="2">
        <v>9</v>
      </c>
      <c r="B14" s="3" t="s">
        <v>77</v>
      </c>
    </row>
    <row r="15" spans="1:2" x14ac:dyDescent="0.2">
      <c r="A15" s="2">
        <v>10</v>
      </c>
      <c r="B15" s="3" t="s">
        <v>79</v>
      </c>
    </row>
    <row r="16" spans="1:2" x14ac:dyDescent="0.2">
      <c r="A16" s="2">
        <v>11</v>
      </c>
      <c r="B16" s="3" t="s">
        <v>80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4"/>
  <sheetViews>
    <sheetView tabSelected="1" zoomScale="85" zoomScaleNormal="85" zoomScaleSheetLayoutView="100" workbookViewId="0">
      <selection activeCell="F12" sqref="F12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2" t="str">
        <f>+Transactions!B1</f>
        <v>AEPTCo Formula Rate -- FERC Docket ER18-194</v>
      </c>
      <c r="D1" s="252"/>
      <c r="E1" s="252"/>
      <c r="F1" s="252"/>
      <c r="G1" s="252"/>
      <c r="H1" s="252"/>
      <c r="I1" s="252"/>
      <c r="L1" s="6">
        <v>2022</v>
      </c>
    </row>
    <row r="2" spans="2:19" x14ac:dyDescent="0.2">
      <c r="C2" s="252" t="s">
        <v>102</v>
      </c>
      <c r="D2" s="252"/>
      <c r="E2" s="252"/>
      <c r="F2" s="252"/>
      <c r="G2" s="252"/>
      <c r="H2" s="252"/>
      <c r="I2" s="252"/>
    </row>
    <row r="3" spans="2:19" x14ac:dyDescent="0.2">
      <c r="C3" s="252" t="str">
        <f>"for period 01/01/"&amp;F8&amp;" - 12/31/"&amp;F8</f>
        <v>for period 01/01/2021 - 12/31/2021</v>
      </c>
      <c r="D3" s="252"/>
      <c r="E3" s="252"/>
      <c r="F3" s="252"/>
      <c r="G3" s="252"/>
      <c r="H3" s="252"/>
      <c r="I3" s="252"/>
    </row>
    <row r="4" spans="2:19" x14ac:dyDescent="0.2">
      <c r="C4" s="252" t="s">
        <v>84</v>
      </c>
      <c r="D4" s="252"/>
      <c r="E4" s="252"/>
      <c r="F4" s="252"/>
      <c r="G4" s="252"/>
      <c r="H4" s="252"/>
      <c r="I4" s="252"/>
    </row>
    <row r="5" spans="2:19" x14ac:dyDescent="0.2">
      <c r="C5" s="7" t="str">
        <f>"Prepared:  May 24_, "&amp;L1&amp;""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96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"&amp;F8+1&amp;" Update of May "&amp;F8+1&amp;")"</f>
        <v>(per 2022 Update of May 2022)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363837.14114708803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605993.10969200009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3.7029508747261031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6.1637282811749872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95</v>
      </c>
      <c r="I19" s="56" t="s">
        <v>94</v>
      </c>
      <c r="J19" s="57" t="s">
        <v>97</v>
      </c>
      <c r="K19" s="58" t="s">
        <v>98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51</v>
      </c>
      <c r="D20" s="60" t="str">
        <f>"Actual Charge
("&amp;F8&amp;" True-Up)"</f>
        <v>Actual Charge
(2021 True-Up)</v>
      </c>
      <c r="E20" s="61" t="str">
        <f>"Invoiced for
CY"&amp;F8&amp;" Transmission Service"</f>
        <v>Invoiced for
CY2021 Transmission Service</v>
      </c>
      <c r="F20" s="60" t="s">
        <v>40</v>
      </c>
      <c r="G20" s="62" t="s">
        <v>7</v>
      </c>
      <c r="H20" s="62" t="s">
        <v>89</v>
      </c>
      <c r="I20" s="63" t="s">
        <v>45</v>
      </c>
      <c r="J20" s="64" t="s">
        <v>99</v>
      </c>
      <c r="K20" s="65" t="s">
        <v>101</v>
      </c>
      <c r="N20" s="52"/>
      <c r="O20" s="53"/>
      <c r="P20" s="53"/>
      <c r="Q20" s="53"/>
      <c r="R20" s="53"/>
      <c r="S20" s="53"/>
    </row>
    <row r="21" spans="2:19" x14ac:dyDescent="0.2">
      <c r="B21" s="66"/>
      <c r="C21" s="67" t="s">
        <v>14</v>
      </c>
      <c r="D21" s="68">
        <f>GETPIVOTDATA("Sum of "&amp;T(Transactions!$J$19),Pivot!$A$3,"Customer",C21)</f>
        <v>55886.524325413608</v>
      </c>
      <c r="E21" s="68">
        <f>GETPIVOTDATA("Sum of "&amp;T(Transactions!$K$19),Pivot!$A$3,"Customer",C21)</f>
        <v>33574.655581141575</v>
      </c>
      <c r="F21" s="68">
        <f>D21-E21</f>
        <v>22311.868744272033</v>
      </c>
      <c r="G21" s="53">
        <f>+GETPIVOTDATA("Sum of "&amp;T(Transactions!$M$19),Pivot!$A$3,"Customer","AECC")</f>
        <v>711.31355427880101</v>
      </c>
      <c r="H21" s="53">
        <f>GETPIVOTDATA("Sum of "&amp;T(Transactions!$Q$19),Pivot!$A$3,"Customer","AECC")</f>
        <v>0</v>
      </c>
      <c r="I21" s="69">
        <f>F21+G21-H21</f>
        <v>23023.182298550833</v>
      </c>
      <c r="J21" s="70"/>
      <c r="K21" s="71">
        <f>I21+J21</f>
        <v>23023.182298550833</v>
      </c>
      <c r="L21" s="66"/>
      <c r="N21" s="52"/>
      <c r="O21" s="53"/>
      <c r="P21" s="53"/>
      <c r="Q21" s="53"/>
      <c r="R21" s="53"/>
      <c r="S21" s="53"/>
    </row>
    <row r="22" spans="2:19" x14ac:dyDescent="0.2">
      <c r="B22" s="66"/>
      <c r="C22" s="72" t="s">
        <v>86</v>
      </c>
      <c r="D22" s="68">
        <f>GETPIVOTDATA("Sum of "&amp;T(Transactions!$J$19),Pivot!$A$3,"Customer",C22)</f>
        <v>2927.7709335581185</v>
      </c>
      <c r="E22" s="68">
        <f>GETPIVOTDATA("Sum of "&amp;T(Transactions!$K$19),Pivot!$A$3,"Customer",C22)</f>
        <v>1758.9016654948989</v>
      </c>
      <c r="F22" s="68">
        <f>D22-E22</f>
        <v>1168.8692680632196</v>
      </c>
      <c r="G22" s="53">
        <f>+GETPIVOTDATA("Sum of "&amp;T(Transactions!$M$19),Pivot!$A$3,"Customer","AECI")</f>
        <v>37.264137893727856</v>
      </c>
      <c r="H22" s="53">
        <f>GETPIVOTDATA("Sum of "&amp;T(Transactions!$Q$19),Pivot!$A$3,"Customer",C22)</f>
        <v>0</v>
      </c>
      <c r="I22" s="69">
        <f t="shared" ref="I22:I33" si="0">F22+G22-H22</f>
        <v>1206.1334059569474</v>
      </c>
      <c r="J22" s="70"/>
      <c r="K22" s="71">
        <f t="shared" ref="K22:K39" si="1">I22+J22</f>
        <v>1206.1334059569474</v>
      </c>
      <c r="L22" s="66"/>
      <c r="N22" s="52"/>
      <c r="O22" s="53"/>
      <c r="P22" s="53"/>
      <c r="Q22" s="53"/>
      <c r="R22" s="53"/>
      <c r="S22" s="53"/>
    </row>
    <row r="23" spans="2:19" x14ac:dyDescent="0.2">
      <c r="B23" s="66"/>
      <c r="C23" s="72" t="s">
        <v>55</v>
      </c>
      <c r="D23" s="68">
        <f>GETPIVOTDATA("Sum of "&amp;T(Transactions!$J$19),Pivot!$A$3,"Customer",C23)</f>
        <v>8801.8039855178813</v>
      </c>
      <c r="E23" s="68">
        <f>GETPIVOTDATA("Sum of "&amp;T(Transactions!$K$19),Pivot!$A$3,"Customer",C23)</f>
        <v>5287.8138491088748</v>
      </c>
      <c r="F23" s="68">
        <f t="shared" ref="F23:F35" si="2">D23-E23</f>
        <v>3513.9901364090065</v>
      </c>
      <c r="G23" s="53">
        <f>+GETPIVOTDATA("Sum of "&amp;T(Transactions!$M$19),Pivot!$A$3,"Customer","Bentonville, AR")</f>
        <v>112.02776613103869</v>
      </c>
      <c r="H23" s="53">
        <f>GETPIVOTDATA("Sum of "&amp;T(Transactions!$Q$19),Pivot!$A$3,"Customer",C23)</f>
        <v>0</v>
      </c>
      <c r="I23" s="69">
        <f t="shared" si="0"/>
        <v>3626.0179025400453</v>
      </c>
      <c r="J23" s="70"/>
      <c r="K23" s="71">
        <f t="shared" si="1"/>
        <v>3626.0179025400453</v>
      </c>
      <c r="L23" s="66"/>
      <c r="N23" s="52"/>
      <c r="O23" s="53"/>
      <c r="P23" s="53"/>
      <c r="Q23" s="53"/>
      <c r="R23" s="53"/>
      <c r="S23" s="53"/>
    </row>
    <row r="24" spans="2:19" x14ac:dyDescent="0.2">
      <c r="B24" s="66"/>
      <c r="C24" s="67" t="s">
        <v>17</v>
      </c>
      <c r="D24" s="68">
        <f>GETPIVOTDATA("Sum of "&amp;T(Transactions!$J$19),Pivot!$A$3,"Customer",C24)</f>
        <v>7772.4613625616594</v>
      </c>
      <c r="E24" s="68">
        <f>GETPIVOTDATA("Sum of "&amp;T(Transactions!$K$19),Pivot!$A$3,"Customer",C24)</f>
        <v>4669.4210530296159</v>
      </c>
      <c r="F24" s="68">
        <f t="shared" si="2"/>
        <v>3103.0403095320435</v>
      </c>
      <c r="G24" s="53">
        <f>+GETPIVOTDATA("Sum of "&amp;T(Transactions!$M$19),Pivot!$A$3,"Customer","Coffeyville, KS")</f>
        <v>98.92647975577016</v>
      </c>
      <c r="H24" s="53">
        <f>GETPIVOTDATA("Sum of "&amp;T(Transactions!$Q$19),Pivot!$A$3,"Customer",C24)</f>
        <v>0</v>
      </c>
      <c r="I24" s="69">
        <f t="shared" si="0"/>
        <v>3201.9667892878138</v>
      </c>
      <c r="J24" s="70"/>
      <c r="K24" s="71">
        <f t="shared" si="1"/>
        <v>3201.9667892878138</v>
      </c>
      <c r="L24" s="66"/>
      <c r="N24" s="52"/>
      <c r="O24" s="53"/>
      <c r="P24" s="53"/>
      <c r="Q24" s="53"/>
      <c r="R24" s="53"/>
      <c r="S24" s="53"/>
    </row>
    <row r="25" spans="2:19" x14ac:dyDescent="0.2">
      <c r="B25" s="66"/>
      <c r="C25" s="72" t="s">
        <v>13</v>
      </c>
      <c r="D25" s="68">
        <f>GETPIVOTDATA("Sum of "&amp;T(Transactions!$J$19),Pivot!$A$3,"Customer",C25)</f>
        <v>61760.55737737337</v>
      </c>
      <c r="E25" s="68">
        <f>GETPIVOTDATA("Sum of "&amp;T(Transactions!$K$19),Pivot!$A$3,"Customer",C25)</f>
        <v>37103.567764755557</v>
      </c>
      <c r="F25" s="68">
        <f t="shared" si="2"/>
        <v>24656.989612617814</v>
      </c>
      <c r="G25" s="53">
        <f>+GETPIVOTDATA("Sum of "&amp;T(Transactions!$M$19),Pivot!$A$3,"Customer","ETEC")</f>
        <v>786.07718251611175</v>
      </c>
      <c r="H25" s="53">
        <f>GETPIVOTDATA("Sum of "&amp;T(Transactions!$Q$19),Pivot!$A$3,"Customer",C25)</f>
        <v>0</v>
      </c>
      <c r="I25" s="69">
        <f t="shared" si="0"/>
        <v>25443.066795133924</v>
      </c>
      <c r="J25" s="70"/>
      <c r="K25" s="71">
        <f t="shared" si="1"/>
        <v>25443.066795133924</v>
      </c>
      <c r="L25" s="66"/>
      <c r="N25" s="54"/>
      <c r="O25" s="53"/>
      <c r="P25" s="53"/>
      <c r="Q25" s="53"/>
      <c r="R25" s="53"/>
      <c r="S25" s="53"/>
    </row>
    <row r="26" spans="2:19" x14ac:dyDescent="0.2">
      <c r="B26" s="66"/>
      <c r="C26" s="67" t="s">
        <v>15</v>
      </c>
      <c r="D26" s="68">
        <f>GETPIVOTDATA("Sum of "&amp;T(Transactions!$J$19),Pivot!$A$3,"Customer",C26)</f>
        <v>671.84638264807359</v>
      </c>
      <c r="E26" s="68">
        <f>GETPIVOTDATA("Sum of "&amp;T(Transactions!$K$19),Pivot!$A$3,"Customer",C26)</f>
        <v>403.62164534514523</v>
      </c>
      <c r="F26" s="68">
        <f t="shared" si="2"/>
        <v>268.22473730292836</v>
      </c>
      <c r="G26" s="53">
        <f>+GETPIVOTDATA("Sum of "&amp;T(Transactions!$M$19),Pivot!$A$3,"Customer","Greenbelt")</f>
        <v>8.5511390114028138</v>
      </c>
      <c r="H26" s="53">
        <f>GETPIVOTDATA("Sum of "&amp;T(Transactions!$Q$19),Pivot!$A$3,"Customer",C26)</f>
        <v>0</v>
      </c>
      <c r="I26" s="69">
        <f t="shared" si="0"/>
        <v>276.77587631433119</v>
      </c>
      <c r="J26" s="70"/>
      <c r="K26" s="71">
        <f t="shared" si="1"/>
        <v>276.77587631433119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">
      <c r="B27" s="66"/>
      <c r="C27" s="67" t="s">
        <v>58</v>
      </c>
      <c r="D27" s="68">
        <f>GETPIVOTDATA("Sum of "&amp;T(Transactions!$J$19),Pivot!$A$3,"Customer",C27)</f>
        <v>2915.4434769957684</v>
      </c>
      <c r="E27" s="68">
        <f>GETPIVOTDATA("Sum of "&amp;T(Transactions!$K$19),Pivot!$A$3,"Customer",C27)</f>
        <v>1751.4957637454468</v>
      </c>
      <c r="F27" s="68">
        <f t="shared" si="2"/>
        <v>1163.9477132503216</v>
      </c>
      <c r="G27" s="53">
        <f>+GETPIVOTDATA("Sum of "&amp;T(Transactions!$M$19),Pivot!$A$3,"Customer","Hope, AR")</f>
        <v>37.107236260491113</v>
      </c>
      <c r="H27" s="53">
        <f>GETPIVOTDATA("Sum of "&amp;T(Transactions!$Q$19),Pivot!$A$3,"Customer",C27)</f>
        <v>0</v>
      </c>
      <c r="I27" s="69">
        <f t="shared" si="0"/>
        <v>1201.0549495108128</v>
      </c>
      <c r="J27" s="70"/>
      <c r="K27" s="71">
        <f t="shared" si="1"/>
        <v>1201.0549495108128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">
      <c r="B28" s="66"/>
      <c r="C28" s="67" t="s">
        <v>16</v>
      </c>
      <c r="D28" s="68">
        <f>GETPIVOTDATA("Sum of "&amp;T(Transactions!$J$19),Pivot!$A$3,"Customer",C28)</f>
        <v>283.53150093404946</v>
      </c>
      <c r="E28" s="68">
        <f>GETPIVOTDATA("Sum of "&amp;T(Transactions!$K$19),Pivot!$A$3,"Customer",C28)</f>
        <v>170.33574023740076</v>
      </c>
      <c r="F28" s="68">
        <f t="shared" si="2"/>
        <v>113.1957606966487</v>
      </c>
      <c r="G28" s="53">
        <f>+GETPIVOTDATA("Sum of "&amp;T(Transactions!$M$19),Pivot!$A$3,"Customer","Lighthouse")</f>
        <v>3.6087375644452231</v>
      </c>
      <c r="H28" s="53">
        <f>GETPIVOTDATA("Sum of "&amp;T(Transactions!$Q$19),Pivot!$A$3,"Customer",C28)</f>
        <v>0</v>
      </c>
      <c r="I28" s="69">
        <f t="shared" si="0"/>
        <v>116.80449826109393</v>
      </c>
      <c r="J28" s="70"/>
      <c r="K28" s="71">
        <f t="shared" si="1"/>
        <v>116.80449826109393</v>
      </c>
      <c r="L28" s="66"/>
      <c r="N28" s="52"/>
      <c r="O28" s="53"/>
      <c r="P28" s="53"/>
      <c r="Q28" s="53"/>
      <c r="R28" s="53"/>
      <c r="S28" s="53"/>
    </row>
    <row r="29" spans="2:19" x14ac:dyDescent="0.2">
      <c r="B29" s="66"/>
      <c r="C29" s="72" t="s">
        <v>57</v>
      </c>
      <c r="D29" s="68">
        <f>GETPIVOTDATA("Sum of "&amp;T(Transactions!$J$19),Pivot!$A$3,"Customer",C29)</f>
        <v>1892.2645823207208</v>
      </c>
      <c r="E29" s="68">
        <f>GETPIVOTDATA("Sum of "&amp;T(Transactions!$K$19),Pivot!$A$3,"Customer",C29)</f>
        <v>1136.8059185409136</v>
      </c>
      <c r="F29" s="68">
        <f t="shared" si="2"/>
        <v>755.45866377980724</v>
      </c>
      <c r="G29" s="53">
        <f>+GETPIVOTDATA("Sum of "&amp;T(Transactions!$M$19),Pivot!$A$3,"Customer","Minden, LA")</f>
        <v>24.084400701840952</v>
      </c>
      <c r="H29" s="53">
        <f>GETPIVOTDATA("Sum of "&amp;T(Transactions!$Q$19),Pivot!$A$3,"Customer",C29)</f>
        <v>0</v>
      </c>
      <c r="I29" s="69">
        <f t="shared" si="0"/>
        <v>779.54306448164823</v>
      </c>
      <c r="J29" s="70"/>
      <c r="K29" s="71">
        <f t="shared" si="1"/>
        <v>779.54306448164823</v>
      </c>
      <c r="L29" s="66"/>
      <c r="N29" s="52"/>
      <c r="O29" s="53"/>
      <c r="P29" s="53"/>
      <c r="Q29" s="53"/>
      <c r="R29" s="53"/>
      <c r="S29" s="53"/>
    </row>
    <row r="30" spans="2:19" x14ac:dyDescent="0.2">
      <c r="B30" s="66"/>
      <c r="C30" s="72" t="s">
        <v>19</v>
      </c>
      <c r="D30" s="68">
        <f>GETPIVOTDATA("Sum of "&amp;T(Transactions!$J$19),Pivot!$A$3,"Customer",C30)</f>
        <v>3266.7759890227435</v>
      </c>
      <c r="E30" s="68">
        <f>GETPIVOTDATA("Sum of "&amp;T(Transactions!$K$19),Pivot!$A$3,"Customer",C30)</f>
        <v>1962.5639636048345</v>
      </c>
      <c r="F30" s="68">
        <f t="shared" si="2"/>
        <v>1304.212025417909</v>
      </c>
      <c r="G30" s="53">
        <f>+GETPIVOTDATA("Sum of "&amp;T(Transactions!$M$19),Pivot!$A$3,"Customer","OG&amp;E")</f>
        <v>41.578932807738447</v>
      </c>
      <c r="H30" s="53">
        <f>GETPIVOTDATA("Sum of "&amp;T(Transactions!$Q$19),Pivot!$A$3,"Customer",C30)</f>
        <v>0</v>
      </c>
      <c r="I30" s="69">
        <f t="shared" si="0"/>
        <v>1345.7909582256475</v>
      </c>
      <c r="J30" s="70"/>
      <c r="K30" s="71">
        <f t="shared" si="1"/>
        <v>1345.7909582256475</v>
      </c>
      <c r="L30" s="66"/>
    </row>
    <row r="31" spans="2:19" x14ac:dyDescent="0.2">
      <c r="B31" s="66"/>
      <c r="C31" s="67" t="s">
        <v>8</v>
      </c>
      <c r="D31" s="68">
        <f>GETPIVOTDATA("Sum of "&amp;T(Transactions!$J$19),Pivot!$A$3,"Customer",C31)</f>
        <v>7680.0054383440356</v>
      </c>
      <c r="E31" s="68">
        <f>GETPIVOTDATA("Sum of "&amp;T(Transactions!$K$19),Pivot!$A$3,"Customer",C31)</f>
        <v>4613.8767899087252</v>
      </c>
      <c r="F31" s="68">
        <f t="shared" si="2"/>
        <v>3066.1286484353104</v>
      </c>
      <c r="G31" s="53">
        <f>+GETPIVOTDATA("Sum of "&amp;T(Transactions!$M$19),Pivot!$A$3,"Customer","OMPA")</f>
        <v>97.749717506494548</v>
      </c>
      <c r="H31" s="53">
        <f>GETPIVOTDATA("Sum of "&amp;T(Transactions!$Q$19),Pivot!$A$3,"Customer",C31)</f>
        <v>0</v>
      </c>
      <c r="I31" s="69">
        <f t="shared" si="0"/>
        <v>3163.878365941805</v>
      </c>
      <c r="J31" s="70"/>
      <c r="K31" s="71">
        <f t="shared" si="1"/>
        <v>3163.878365941805</v>
      </c>
      <c r="L31" s="66"/>
    </row>
    <row r="32" spans="2:19" x14ac:dyDescent="0.2">
      <c r="B32" s="66"/>
      <c r="C32" s="67" t="s">
        <v>56</v>
      </c>
      <c r="D32" s="68">
        <f>GETPIVOTDATA("Sum of "&amp;T(Transactions!$J$19),Pivot!$A$3,"Customer",C32)</f>
        <v>782.79349170922319</v>
      </c>
      <c r="E32" s="68">
        <f>GETPIVOTDATA("Sum of "&amp;T(Transactions!$K$19),Pivot!$A$3,"Customer",C32)</f>
        <v>470.27476109021512</v>
      </c>
      <c r="F32" s="68">
        <f t="shared" si="2"/>
        <v>312.51873061900807</v>
      </c>
      <c r="G32" s="53">
        <f>+GETPIVOTDATA("Sum of "&amp;T(Transactions!$M$19),Pivot!$A$3,"Customer","Prescott, AR")</f>
        <v>9.9632537105335537</v>
      </c>
      <c r="H32" s="53">
        <f>GETPIVOTDATA("Sum of "&amp;T(Transactions!$Q$19),Pivot!$A$3,"Customer",C32)</f>
        <v>0</v>
      </c>
      <c r="I32" s="69">
        <f t="shared" si="0"/>
        <v>322.4819843295416</v>
      </c>
      <c r="J32" s="70"/>
      <c r="K32" s="71">
        <f t="shared" si="1"/>
        <v>322.4819843295416</v>
      </c>
      <c r="L32" s="66"/>
    </row>
    <row r="33" spans="2:13" x14ac:dyDescent="0.2">
      <c r="B33" s="66"/>
      <c r="C33" s="74" t="s">
        <v>9</v>
      </c>
      <c r="D33" s="68">
        <f>GETPIVOTDATA("Sum of "&amp;T(Transactions!$J$19),Pivot!$A$3,"Customer",C33)</f>
        <v>3044.8817709004438</v>
      </c>
      <c r="E33" s="68">
        <f>GETPIVOTDATA("Sum of "&amp;T(Transactions!$K$19),Pivot!$A$3,"Customer",C33)</f>
        <v>1829.2577321146948</v>
      </c>
      <c r="F33" s="68">
        <f t="shared" si="2"/>
        <v>1215.624038785749</v>
      </c>
      <c r="G33" s="53">
        <f>+GETPIVOTDATA("Sum of "&amp;T(Transactions!$M$19),Pivot!$A$3,"Customer","WFEC")</f>
        <v>38.754703409476974</v>
      </c>
      <c r="H33" s="53">
        <f>GETPIVOTDATA("Sum of "&amp;T(Transactions!$Q$19),Pivot!$A$3,"Customer",C33)</f>
        <v>0</v>
      </c>
      <c r="I33" s="69">
        <f t="shared" si="0"/>
        <v>1254.3787421952261</v>
      </c>
      <c r="J33" s="70"/>
      <c r="K33" s="71">
        <f t="shared" si="1"/>
        <v>1254.3787421952261</v>
      </c>
      <c r="L33" s="66"/>
    </row>
    <row r="34" spans="2:13" ht="24" x14ac:dyDescent="0.2">
      <c r="C34" s="75" t="s">
        <v>43</v>
      </c>
      <c r="D34" s="76">
        <f t="shared" ref="D34:J34" si="3">SUM(D21:D33)</f>
        <v>157686.6606172997</v>
      </c>
      <c r="E34" s="76">
        <f t="shared" si="3"/>
        <v>94732.592228117894</v>
      </c>
      <c r="F34" s="76">
        <f t="shared" si="3"/>
        <v>62954.068389181797</v>
      </c>
      <c r="G34" s="77">
        <f t="shared" si="3"/>
        <v>2007.007241547873</v>
      </c>
      <c r="H34" s="77">
        <f t="shared" si="3"/>
        <v>0</v>
      </c>
      <c r="I34" s="78">
        <f t="shared" si="3"/>
        <v>64961.075630729676</v>
      </c>
      <c r="J34" s="79">
        <f t="shared" si="3"/>
        <v>0</v>
      </c>
      <c r="K34" s="80">
        <f t="shared" si="1"/>
        <v>64961.075630729676</v>
      </c>
    </row>
    <row r="35" spans="2:13" x14ac:dyDescent="0.2">
      <c r="C35" s="81" t="s">
        <v>21</v>
      </c>
      <c r="D35" s="68">
        <f>GETPIVOTDATA("Sum of "&amp;T(Transactions!$J$19),Pivot!$A$3,"Customer",C35)</f>
        <v>224254.92605398953</v>
      </c>
      <c r="E35" s="68">
        <f>GETPIVOTDATA("Sum of "&amp;T(Transactions!$K$19),Pivot!$A$3,"Customer",C35)</f>
        <v>134724.46167515981</v>
      </c>
      <c r="F35" s="68">
        <f t="shared" si="2"/>
        <v>89530.464378829725</v>
      </c>
      <c r="G35" s="53">
        <f>+GETPIVOTDATA("Sum of "&amp;T(Transactions!$M$19),Pivot!$A$3,"Customer","PSO")</f>
        <v>2854.2760610263172</v>
      </c>
      <c r="H35" s="53">
        <f>GETPIVOTDATA("Sum of "&amp;T(Transactions!$Q$19),Pivot!$A$3,"Customer",C35)</f>
        <v>0</v>
      </c>
      <c r="I35" s="69">
        <f>F35+G35-H35</f>
        <v>92384.740439856047</v>
      </c>
      <c r="J35" s="70"/>
      <c r="K35" s="71">
        <f t="shared" si="1"/>
        <v>92384.740439856047</v>
      </c>
    </row>
    <row r="36" spans="2:13" x14ac:dyDescent="0.2">
      <c r="C36" s="82" t="s">
        <v>22</v>
      </c>
      <c r="D36" s="68">
        <f>GETPIVOTDATA("Sum of "&amp;T(Transactions!$J$19),Pivot!$A$3,"Customer",C36)</f>
        <v>214516.2353697331</v>
      </c>
      <c r="E36" s="68">
        <f>GETPIVOTDATA("Sum of "&amp;T(Transactions!$K$19),Pivot!$A$3,"Customer",C36)</f>
        <v>128873.79929309257</v>
      </c>
      <c r="F36" s="68">
        <f>D36-E36</f>
        <v>85642.43607664053</v>
      </c>
      <c r="G36" s="53">
        <f>+GETPIVOTDATA("Sum of "&amp;T(Transactions!$M$19),Pivot!$A$3,"Customer","SWEPCO")</f>
        <v>2730.3237707692851</v>
      </c>
      <c r="H36" s="53">
        <f>GETPIVOTDATA("Sum of "&amp;T(Transactions!$Q$19),Pivot!$A$3,"Customer",C36)</f>
        <v>0</v>
      </c>
      <c r="I36" s="69">
        <f>F36+G36-H36</f>
        <v>88372.759847409819</v>
      </c>
      <c r="J36" s="70"/>
      <c r="K36" s="71">
        <f t="shared" si="1"/>
        <v>88372.759847409819</v>
      </c>
    </row>
    <row r="37" spans="2:13" x14ac:dyDescent="0.2">
      <c r="C37" s="83" t="s">
        <v>82</v>
      </c>
      <c r="D37" s="68">
        <f>GETPIVOTDATA("Sum of "&amp;T(Transactions!$J$19),Pivot!$A$3,"Customer",C37)</f>
        <v>9504.4690095718306</v>
      </c>
      <c r="E37" s="68">
        <f>GETPIVOTDATA("Sum of "&amp;T(Transactions!$K$19),Pivot!$A$3,"Customer",C37)</f>
        <v>5709.9502488276521</v>
      </c>
      <c r="F37" s="68">
        <f>D37-E37</f>
        <v>3794.5187607441785</v>
      </c>
      <c r="G37" s="53">
        <f>+GETPIVOTDATA("Sum of "&amp;T(Transactions!$M$19),Pivot!$A$3,"Customer","SWEPCO-Valley")</f>
        <v>120.9711592255334</v>
      </c>
      <c r="H37" s="53">
        <f>GETPIVOTDATA("Sum of "&amp;T(Transactions!$Q$19),Pivot!$A$3,"Customer",C37)</f>
        <v>0</v>
      </c>
      <c r="I37" s="69">
        <f>F37+G37-H37</f>
        <v>3915.489919969712</v>
      </c>
      <c r="J37" s="70"/>
      <c r="K37" s="71">
        <f t="shared" si="1"/>
        <v>3915.489919969712</v>
      </c>
    </row>
    <row r="38" spans="2:13" ht="24" x14ac:dyDescent="0.2">
      <c r="C38" s="84" t="s">
        <v>52</v>
      </c>
      <c r="D38" s="85">
        <f t="shared" ref="D38:I38" si="4">SUM(D35:D37)</f>
        <v>448275.63043329446</v>
      </c>
      <c r="E38" s="85">
        <f t="shared" si="4"/>
        <v>269308.21121708001</v>
      </c>
      <c r="F38" s="85">
        <f t="shared" si="4"/>
        <v>178967.41921621445</v>
      </c>
      <c r="G38" s="86">
        <f t="shared" si="4"/>
        <v>5705.5709910211353</v>
      </c>
      <c r="H38" s="86">
        <f t="shared" si="4"/>
        <v>0</v>
      </c>
      <c r="I38" s="87">
        <f t="shared" si="4"/>
        <v>184672.99020723559</v>
      </c>
      <c r="J38" s="88">
        <f>SUM(J35:J37)</f>
        <v>0</v>
      </c>
      <c r="K38" s="89">
        <f t="shared" si="1"/>
        <v>184672.99020723559</v>
      </c>
    </row>
    <row r="39" spans="2:13" ht="23.25" customHeight="1" thickBot="1" x14ac:dyDescent="0.25">
      <c r="C39" s="90" t="s">
        <v>44</v>
      </c>
      <c r="D39" s="91">
        <f t="shared" ref="D39:I39" si="5">SUM(D34,D38)</f>
        <v>605962.29105059418</v>
      </c>
      <c r="E39" s="92">
        <f t="shared" si="5"/>
        <v>364040.80344519787</v>
      </c>
      <c r="F39" s="91">
        <f t="shared" si="5"/>
        <v>241921.48760539625</v>
      </c>
      <c r="G39" s="92">
        <f t="shared" si="5"/>
        <v>7712.5782325690088</v>
      </c>
      <c r="H39" s="92">
        <f t="shared" si="5"/>
        <v>0</v>
      </c>
      <c r="I39" s="93">
        <f t="shared" si="5"/>
        <v>249634.06583796526</v>
      </c>
      <c r="J39" s="94">
        <f>SUM(J34,J38)</f>
        <v>0</v>
      </c>
      <c r="K39" s="95">
        <f t="shared" si="1"/>
        <v>249634.06583796526</v>
      </c>
      <c r="M39" s="96"/>
    </row>
    <row r="40" spans="2:13" x14ac:dyDescent="0.2">
      <c r="E40" s="52"/>
      <c r="F40" s="52"/>
      <c r="G40" s="52"/>
      <c r="H40" s="52"/>
    </row>
    <row r="41" spans="2:13" x14ac:dyDescent="0.2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">
      <c r="C42" s="3"/>
      <c r="K42" s="97"/>
    </row>
    <row r="43" spans="2:13" x14ac:dyDescent="0.2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I24" sqref="I24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customWidth="1"/>
    <col min="16" max="16384" width="8.7109375" style="1"/>
  </cols>
  <sheetData>
    <row r="3" spans="1:15" x14ac:dyDescent="0.2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">
      <c r="A4" s="100" t="s">
        <v>0</v>
      </c>
      <c r="B4" s="100" t="s">
        <v>24</v>
      </c>
      <c r="C4" s="102">
        <v>44197</v>
      </c>
      <c r="D4" s="103">
        <v>44228</v>
      </c>
      <c r="E4" s="103">
        <v>44256</v>
      </c>
      <c r="F4" s="103">
        <v>44287</v>
      </c>
      <c r="G4" s="103">
        <v>44317</v>
      </c>
      <c r="H4" s="103">
        <v>44348</v>
      </c>
      <c r="I4" s="103">
        <v>44378</v>
      </c>
      <c r="J4" s="103">
        <v>44409</v>
      </c>
      <c r="K4" s="103">
        <v>44440</v>
      </c>
      <c r="L4" s="103">
        <v>44470</v>
      </c>
      <c r="M4" s="103">
        <v>44501</v>
      </c>
      <c r="N4" s="103">
        <v>44531</v>
      </c>
      <c r="O4" s="104" t="s">
        <v>18</v>
      </c>
    </row>
    <row r="5" spans="1:15" x14ac:dyDescent="0.2">
      <c r="A5" s="98" t="s">
        <v>14</v>
      </c>
      <c r="B5" s="98" t="s">
        <v>71</v>
      </c>
      <c r="C5" s="105">
        <v>4727.5795916612151</v>
      </c>
      <c r="D5" s="106">
        <v>6545.8794346078366</v>
      </c>
      <c r="E5" s="106">
        <v>3692.0732404238174</v>
      </c>
      <c r="F5" s="106">
        <v>2755.1865416852193</v>
      </c>
      <c r="G5" s="106">
        <v>3716.7281535485172</v>
      </c>
      <c r="H5" s="106">
        <v>5177.5317561869888</v>
      </c>
      <c r="I5" s="106">
        <v>5707.6123883680384</v>
      </c>
      <c r="J5" s="106">
        <v>5812.3957691480127</v>
      </c>
      <c r="K5" s="106">
        <v>5627.4839207127634</v>
      </c>
      <c r="L5" s="106">
        <v>4197.4989594801664</v>
      </c>
      <c r="M5" s="106">
        <v>4018.7508393260914</v>
      </c>
      <c r="N5" s="106">
        <v>3907.8037302649418</v>
      </c>
      <c r="O5" s="107">
        <v>55886.524325413608</v>
      </c>
    </row>
    <row r="6" spans="1:15" x14ac:dyDescent="0.2">
      <c r="A6" s="236"/>
      <c r="B6" s="108" t="s">
        <v>25</v>
      </c>
      <c r="C6" s="240">
        <v>1887.4162707462942</v>
      </c>
      <c r="D6" s="241">
        <v>2613.3456056487153</v>
      </c>
      <c r="E6" s="241">
        <v>1474.0056664628819</v>
      </c>
      <c r="F6" s="241">
        <v>1099.9675006826512</v>
      </c>
      <c r="G6" s="241">
        <v>1483.8487760886769</v>
      </c>
      <c r="H6" s="241">
        <v>2067.0530214170622</v>
      </c>
      <c r="I6" s="241">
        <v>2278.6798783716667</v>
      </c>
      <c r="J6" s="241">
        <v>2320.5130942812975</v>
      </c>
      <c r="K6" s="241">
        <v>2246.6897720878314</v>
      </c>
      <c r="L6" s="241">
        <v>1675.7894137916901</v>
      </c>
      <c r="M6" s="241">
        <v>1604.4268690046724</v>
      </c>
      <c r="N6" s="241">
        <v>1560.1328756885923</v>
      </c>
      <c r="O6" s="242">
        <v>22311.868744272033</v>
      </c>
    </row>
    <row r="7" spans="1:15" x14ac:dyDescent="0.2">
      <c r="A7" s="236"/>
      <c r="B7" s="108" t="s">
        <v>26</v>
      </c>
      <c r="C7" s="240">
        <v>60.171776346293186</v>
      </c>
      <c r="D7" s="241">
        <v>83.31476724871365</v>
      </c>
      <c r="E7" s="241">
        <v>46.992039154406285</v>
      </c>
      <c r="F7" s="241">
        <v>35.067515028413368</v>
      </c>
      <c r="G7" s="241">
        <v>47.305842420879777</v>
      </c>
      <c r="H7" s="241">
        <v>65.89868595943453</v>
      </c>
      <c r="I7" s="241">
        <v>72.645456188614716</v>
      </c>
      <c r="J7" s="241">
        <v>73.979120071127099</v>
      </c>
      <c r="K7" s="241">
        <v>71.625595572575861</v>
      </c>
      <c r="L7" s="241">
        <v>53.425006117112986</v>
      </c>
      <c r="M7" s="241">
        <v>51.149932435180126</v>
      </c>
      <c r="N7" s="241">
        <v>49.737817736049386</v>
      </c>
      <c r="O7" s="242">
        <v>711.31355427880101</v>
      </c>
    </row>
    <row r="8" spans="1:15" x14ac:dyDescent="0.2">
      <c r="A8" s="236"/>
      <c r="B8" s="108" t="s">
        <v>27</v>
      </c>
      <c r="C8" s="240">
        <v>1947.5880470925874</v>
      </c>
      <c r="D8" s="241">
        <v>2696.6603728974287</v>
      </c>
      <c r="E8" s="241">
        <v>1520.9977056172881</v>
      </c>
      <c r="F8" s="241">
        <v>1135.0350157110647</v>
      </c>
      <c r="G8" s="241">
        <v>1531.1546185095567</v>
      </c>
      <c r="H8" s="241">
        <v>2132.9517073764969</v>
      </c>
      <c r="I8" s="241">
        <v>2351.3253345602816</v>
      </c>
      <c r="J8" s="241">
        <v>2394.4922143524245</v>
      </c>
      <c r="K8" s="241">
        <v>2318.3153676604074</v>
      </c>
      <c r="L8" s="241">
        <v>1729.2144199088032</v>
      </c>
      <c r="M8" s="241">
        <v>1655.5768014398525</v>
      </c>
      <c r="N8" s="241">
        <v>1609.8706934246418</v>
      </c>
      <c r="O8" s="242">
        <v>23023.182298550833</v>
      </c>
    </row>
    <row r="9" spans="1:15" x14ac:dyDescent="0.2">
      <c r="A9" s="236"/>
      <c r="B9" s="108" t="s">
        <v>50</v>
      </c>
      <c r="C9" s="109">
        <v>2840.1633209149209</v>
      </c>
      <c r="D9" s="97">
        <v>3932.5338289591214</v>
      </c>
      <c r="E9" s="97">
        <v>2218.0675739609355</v>
      </c>
      <c r="F9" s="97">
        <v>1655.219041002568</v>
      </c>
      <c r="G9" s="97">
        <v>2232.8793774598403</v>
      </c>
      <c r="H9" s="97">
        <v>3110.4787347699266</v>
      </c>
      <c r="I9" s="97">
        <v>3428.9325099963717</v>
      </c>
      <c r="J9" s="97">
        <v>3491.8826748667152</v>
      </c>
      <c r="K9" s="97">
        <v>3380.7941486249319</v>
      </c>
      <c r="L9" s="97">
        <v>2521.7095456884763</v>
      </c>
      <c r="M9" s="97">
        <v>2414.323970321419</v>
      </c>
      <c r="N9" s="97">
        <v>2347.6708545763495</v>
      </c>
      <c r="O9" s="110">
        <v>33574.655581141575</v>
      </c>
    </row>
    <row r="10" spans="1:15" x14ac:dyDescent="0.2">
      <c r="A10" s="236"/>
      <c r="B10" s="108" t="s">
        <v>90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">
      <c r="A11" s="236"/>
      <c r="B11" s="108" t="s">
        <v>92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">
      <c r="A12" s="98" t="s">
        <v>17</v>
      </c>
      <c r="B12" s="98" t="s">
        <v>71</v>
      </c>
      <c r="C12" s="105">
        <v>579.3904584304488</v>
      </c>
      <c r="D12" s="106">
        <v>616.37282811749867</v>
      </c>
      <c r="E12" s="106">
        <v>622.53655639867372</v>
      </c>
      <c r="F12" s="106">
        <v>604.04537155514879</v>
      </c>
      <c r="G12" s="106">
        <v>610.20909983632373</v>
      </c>
      <c r="H12" s="106">
        <v>696.50129577277357</v>
      </c>
      <c r="I12" s="106">
        <v>714.99248061629851</v>
      </c>
      <c r="J12" s="106">
        <v>714.99248061629851</v>
      </c>
      <c r="K12" s="106">
        <v>714.99248061629851</v>
      </c>
      <c r="L12" s="106">
        <v>647.1914695233736</v>
      </c>
      <c r="M12" s="106">
        <v>616.37282811749867</v>
      </c>
      <c r="N12" s="106">
        <v>634.86401296102372</v>
      </c>
      <c r="O12" s="107">
        <v>7772.4613625616594</v>
      </c>
    </row>
    <row r="13" spans="1:15" x14ac:dyDescent="0.2">
      <c r="A13" s="236"/>
      <c r="B13" s="108" t="s">
        <v>25</v>
      </c>
      <c r="C13" s="240">
        <v>231.31307620619509</v>
      </c>
      <c r="D13" s="241">
        <v>246.07774064488837</v>
      </c>
      <c r="E13" s="241">
        <v>248.53851805133729</v>
      </c>
      <c r="F13" s="241">
        <v>241.15618583199068</v>
      </c>
      <c r="G13" s="241">
        <v>243.61696323843955</v>
      </c>
      <c r="H13" s="241">
        <v>278.06784692872395</v>
      </c>
      <c r="I13" s="241">
        <v>285.45017914807056</v>
      </c>
      <c r="J13" s="241">
        <v>285.45017914807056</v>
      </c>
      <c r="K13" s="241">
        <v>285.45017914807056</v>
      </c>
      <c r="L13" s="241">
        <v>258.38162767713277</v>
      </c>
      <c r="M13" s="241">
        <v>246.07774064488837</v>
      </c>
      <c r="N13" s="241">
        <v>253.46007286423509</v>
      </c>
      <c r="O13" s="242">
        <v>3103.040309532043</v>
      </c>
    </row>
    <row r="14" spans="1:15" x14ac:dyDescent="0.2">
      <c r="A14" s="236"/>
      <c r="B14" s="108" t="s">
        <v>26</v>
      </c>
      <c r="C14" s="240">
        <v>7.3743767621271967</v>
      </c>
      <c r="D14" s="241">
        <v>7.8450816618374439</v>
      </c>
      <c r="E14" s="241">
        <v>7.9235324784558188</v>
      </c>
      <c r="F14" s="241">
        <v>7.6881800286006952</v>
      </c>
      <c r="G14" s="241">
        <v>7.76663084521907</v>
      </c>
      <c r="H14" s="241">
        <v>8.8649422778763114</v>
      </c>
      <c r="I14" s="241">
        <v>9.1002947277314341</v>
      </c>
      <c r="J14" s="241">
        <v>9.1002947277314341</v>
      </c>
      <c r="K14" s="241">
        <v>9.1002947277314341</v>
      </c>
      <c r="L14" s="241">
        <v>8.2373357449293163</v>
      </c>
      <c r="M14" s="241">
        <v>7.8450816618374439</v>
      </c>
      <c r="N14" s="241">
        <v>8.0804341116925666</v>
      </c>
      <c r="O14" s="242">
        <v>98.92647975577016</v>
      </c>
    </row>
    <row r="15" spans="1:15" x14ac:dyDescent="0.2">
      <c r="A15" s="236"/>
      <c r="B15" s="108" t="s">
        <v>27</v>
      </c>
      <c r="C15" s="240">
        <v>238.68745296832228</v>
      </c>
      <c r="D15" s="241">
        <v>253.92282230672581</v>
      </c>
      <c r="E15" s="241">
        <v>256.46205052979309</v>
      </c>
      <c r="F15" s="241">
        <v>248.84436586059138</v>
      </c>
      <c r="G15" s="241">
        <v>251.38359408365864</v>
      </c>
      <c r="H15" s="241">
        <v>286.93278920660026</v>
      </c>
      <c r="I15" s="241">
        <v>294.55047387580197</v>
      </c>
      <c r="J15" s="241">
        <v>294.55047387580197</v>
      </c>
      <c r="K15" s="241">
        <v>294.55047387580197</v>
      </c>
      <c r="L15" s="241">
        <v>266.61896342206211</v>
      </c>
      <c r="M15" s="241">
        <v>253.92282230672581</v>
      </c>
      <c r="N15" s="241">
        <v>261.54050697592766</v>
      </c>
      <c r="O15" s="242">
        <v>3201.9667892878128</v>
      </c>
    </row>
    <row r="16" spans="1:15" x14ac:dyDescent="0.2">
      <c r="A16" s="236"/>
      <c r="B16" s="108" t="s">
        <v>50</v>
      </c>
      <c r="C16" s="109">
        <v>348.07738222425371</v>
      </c>
      <c r="D16" s="97">
        <v>370.29508747261031</v>
      </c>
      <c r="E16" s="97">
        <v>373.99803834733643</v>
      </c>
      <c r="F16" s="97">
        <v>362.88918572315811</v>
      </c>
      <c r="G16" s="97">
        <v>366.59213659788418</v>
      </c>
      <c r="H16" s="97">
        <v>418.43344884404962</v>
      </c>
      <c r="I16" s="97">
        <v>429.54230146822795</v>
      </c>
      <c r="J16" s="97">
        <v>429.54230146822795</v>
      </c>
      <c r="K16" s="97">
        <v>429.54230146822795</v>
      </c>
      <c r="L16" s="97">
        <v>388.80984184624083</v>
      </c>
      <c r="M16" s="97">
        <v>370.29508747261031</v>
      </c>
      <c r="N16" s="97">
        <v>381.40394009678863</v>
      </c>
      <c r="O16" s="110">
        <v>4669.4210530296159</v>
      </c>
    </row>
    <row r="17" spans="1:15" x14ac:dyDescent="0.2">
      <c r="A17" s="236"/>
      <c r="B17" s="108" t="s">
        <v>90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">
      <c r="A18" s="236"/>
      <c r="B18" s="108" t="s">
        <v>92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">
      <c r="A19" s="98" t="s">
        <v>13</v>
      </c>
      <c r="B19" s="98" t="s">
        <v>71</v>
      </c>
      <c r="C19" s="105">
        <v>5997.3076175832621</v>
      </c>
      <c r="D19" s="106">
        <v>8247.0684402121333</v>
      </c>
      <c r="E19" s="106">
        <v>4869.3453421282402</v>
      </c>
      <c r="F19" s="106">
        <v>3482.5064788638679</v>
      </c>
      <c r="G19" s="106">
        <v>3920.1311868272919</v>
      </c>
      <c r="H19" s="106">
        <v>5208.3503975928643</v>
      </c>
      <c r="I19" s="106">
        <v>5528.8642682139634</v>
      </c>
      <c r="J19" s="106">
        <v>5541.1917247763131</v>
      </c>
      <c r="K19" s="106">
        <v>5572.0103661821886</v>
      </c>
      <c r="L19" s="106">
        <v>4222.1538726048666</v>
      </c>
      <c r="M19" s="106">
        <v>4425.5569058836409</v>
      </c>
      <c r="N19" s="106">
        <v>4746.07077650474</v>
      </c>
      <c r="O19" s="107">
        <v>61760.55737737337</v>
      </c>
    </row>
    <row r="20" spans="1:15" x14ac:dyDescent="0.2">
      <c r="A20" s="236"/>
      <c r="B20" s="108" t="s">
        <v>25</v>
      </c>
      <c r="C20" s="240">
        <v>2394.3364164747636</v>
      </c>
      <c r="D20" s="241">
        <v>3292.5201698286073</v>
      </c>
      <c r="E20" s="241">
        <v>1944.0141510946187</v>
      </c>
      <c r="F20" s="241">
        <v>1390.3392346436194</v>
      </c>
      <c r="G20" s="241">
        <v>1565.0544305014905</v>
      </c>
      <c r="H20" s="241">
        <v>2079.3569084493074</v>
      </c>
      <c r="I20" s="241">
        <v>2207.3173335846491</v>
      </c>
      <c r="J20" s="241">
        <v>2212.2388883975464</v>
      </c>
      <c r="K20" s="241">
        <v>2224.5427754297916</v>
      </c>
      <c r="L20" s="241">
        <v>1685.632523417486</v>
      </c>
      <c r="M20" s="241">
        <v>1766.8381778302987</v>
      </c>
      <c r="N20" s="241">
        <v>1894.7986029656408</v>
      </c>
      <c r="O20" s="242">
        <v>24656.989612617821</v>
      </c>
    </row>
    <row r="21" spans="1:15" x14ac:dyDescent="0.2">
      <c r="A21" s="236"/>
      <c r="B21" s="108" t="s">
        <v>26</v>
      </c>
      <c r="C21" s="240">
        <v>76.332644569678322</v>
      </c>
      <c r="D21" s="241">
        <v>104.96719263538499</v>
      </c>
      <c r="E21" s="241">
        <v>61.976145128515803</v>
      </c>
      <c r="F21" s="241">
        <v>44.324711389381555</v>
      </c>
      <c r="G21" s="241">
        <v>49.894719369286136</v>
      </c>
      <c r="H21" s="241">
        <v>66.290940042526401</v>
      </c>
      <c r="I21" s="241">
        <v>70.370382506681864</v>
      </c>
      <c r="J21" s="241">
        <v>70.527284139918621</v>
      </c>
      <c r="K21" s="241">
        <v>70.919538223010491</v>
      </c>
      <c r="L21" s="241">
        <v>53.738809383586485</v>
      </c>
      <c r="M21" s="241">
        <v>56.327686331992844</v>
      </c>
      <c r="N21" s="241">
        <v>60.407128796148314</v>
      </c>
      <c r="O21" s="242">
        <v>786.07718251611175</v>
      </c>
    </row>
    <row r="22" spans="1:15" x14ac:dyDescent="0.2">
      <c r="A22" s="236"/>
      <c r="B22" s="108" t="s">
        <v>27</v>
      </c>
      <c r="C22" s="240">
        <v>2470.6690610444421</v>
      </c>
      <c r="D22" s="241">
        <v>3397.4873624639922</v>
      </c>
      <c r="E22" s="241">
        <v>2005.9902962231345</v>
      </c>
      <c r="F22" s="241">
        <v>1434.6639460330009</v>
      </c>
      <c r="G22" s="241">
        <v>1614.9491498707766</v>
      </c>
      <c r="H22" s="241">
        <v>2145.6478484918339</v>
      </c>
      <c r="I22" s="241">
        <v>2277.6877160913309</v>
      </c>
      <c r="J22" s="241">
        <v>2282.7661725374651</v>
      </c>
      <c r="K22" s="241">
        <v>2295.4623136528021</v>
      </c>
      <c r="L22" s="241">
        <v>1739.3713328010724</v>
      </c>
      <c r="M22" s="241">
        <v>1823.1658641622917</v>
      </c>
      <c r="N22" s="241">
        <v>1955.2057317617891</v>
      </c>
      <c r="O22" s="242">
        <v>25443.066795133927</v>
      </c>
    </row>
    <row r="23" spans="1:15" x14ac:dyDescent="0.2">
      <c r="A23" s="236"/>
      <c r="B23" s="108" t="s">
        <v>50</v>
      </c>
      <c r="C23" s="109">
        <v>3602.9712011084985</v>
      </c>
      <c r="D23" s="97">
        <v>4954.548270383526</v>
      </c>
      <c r="E23" s="97">
        <v>2925.3311910336215</v>
      </c>
      <c r="F23" s="97">
        <v>2092.1672442202484</v>
      </c>
      <c r="G23" s="97">
        <v>2355.0767563258014</v>
      </c>
      <c r="H23" s="97">
        <v>3128.9934891435569</v>
      </c>
      <c r="I23" s="97">
        <v>3321.5469346293144</v>
      </c>
      <c r="J23" s="97">
        <v>3328.9528363787667</v>
      </c>
      <c r="K23" s="97">
        <v>3347.467590752397</v>
      </c>
      <c r="L23" s="97">
        <v>2536.5213491873806</v>
      </c>
      <c r="M23" s="97">
        <v>2658.7187280533421</v>
      </c>
      <c r="N23" s="97">
        <v>2851.2721735390992</v>
      </c>
      <c r="O23" s="110">
        <v>37103.567764755557</v>
      </c>
    </row>
    <row r="24" spans="1:15" x14ac:dyDescent="0.2">
      <c r="A24" s="236"/>
      <c r="B24" s="108" t="s">
        <v>90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">
      <c r="A25" s="236"/>
      <c r="B25" s="108" t="s">
        <v>92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">
      <c r="A26" s="98" t="s">
        <v>15</v>
      </c>
      <c r="B26" s="98" t="s">
        <v>71</v>
      </c>
      <c r="C26" s="105">
        <v>43.146097968224908</v>
      </c>
      <c r="D26" s="106">
        <v>49.309826249399897</v>
      </c>
      <c r="E26" s="106">
        <v>30.818641405874935</v>
      </c>
      <c r="F26" s="106">
        <v>36.982369687049925</v>
      </c>
      <c r="G26" s="106">
        <v>24.654913124699949</v>
      </c>
      <c r="H26" s="106">
        <v>80.128467655274832</v>
      </c>
      <c r="I26" s="106">
        <v>104.78338077997478</v>
      </c>
      <c r="J26" s="106">
        <v>104.78338077997478</v>
      </c>
      <c r="K26" s="106">
        <v>98.619652498799795</v>
      </c>
      <c r="L26" s="106">
        <v>30.818641405874935</v>
      </c>
      <c r="M26" s="106">
        <v>30.818641405874935</v>
      </c>
      <c r="N26" s="106">
        <v>36.982369687049925</v>
      </c>
      <c r="O26" s="107">
        <v>671.84638264807359</v>
      </c>
    </row>
    <row r="27" spans="1:15" x14ac:dyDescent="0.2">
      <c r="A27" s="236"/>
      <c r="B27" s="108" t="s">
        <v>25</v>
      </c>
      <c r="C27" s="240">
        <v>17.225441845142186</v>
      </c>
      <c r="D27" s="241">
        <v>19.686219251591073</v>
      </c>
      <c r="E27" s="241">
        <v>12.303887032244418</v>
      </c>
      <c r="F27" s="241">
        <v>14.764664438693305</v>
      </c>
      <c r="G27" s="241">
        <v>9.8431096257955364</v>
      </c>
      <c r="H27" s="241">
        <v>31.990106283835495</v>
      </c>
      <c r="I27" s="241">
        <v>41.833215909631022</v>
      </c>
      <c r="J27" s="241">
        <v>41.833215909631022</v>
      </c>
      <c r="K27" s="241">
        <v>39.372438503182146</v>
      </c>
      <c r="L27" s="241">
        <v>12.303887032244418</v>
      </c>
      <c r="M27" s="241">
        <v>12.303887032244418</v>
      </c>
      <c r="N27" s="241">
        <v>14.764664438693305</v>
      </c>
      <c r="O27" s="242">
        <v>268.2247373029283</v>
      </c>
    </row>
    <row r="28" spans="1:15" x14ac:dyDescent="0.2">
      <c r="A28" s="236"/>
      <c r="B28" s="108" t="s">
        <v>26</v>
      </c>
      <c r="C28" s="240">
        <v>0.54915571632862104</v>
      </c>
      <c r="D28" s="241">
        <v>0.62760653294699542</v>
      </c>
      <c r="E28" s="241">
        <v>0.39225408309187215</v>
      </c>
      <c r="F28" s="241">
        <v>0.47070489971024659</v>
      </c>
      <c r="G28" s="241">
        <v>0.31380326647349771</v>
      </c>
      <c r="H28" s="241">
        <v>1.0198606160388677</v>
      </c>
      <c r="I28" s="241">
        <v>1.3336638825123655</v>
      </c>
      <c r="J28" s="241">
        <v>1.3336638825123655</v>
      </c>
      <c r="K28" s="241">
        <v>1.2552130658939908</v>
      </c>
      <c r="L28" s="241">
        <v>0.39225408309187215</v>
      </c>
      <c r="M28" s="241">
        <v>0.39225408309187215</v>
      </c>
      <c r="N28" s="241">
        <v>0.47070489971024659</v>
      </c>
      <c r="O28" s="242">
        <v>8.5511390114028138</v>
      </c>
    </row>
    <row r="29" spans="1:15" x14ac:dyDescent="0.2">
      <c r="A29" s="236"/>
      <c r="B29" s="108" t="s">
        <v>27</v>
      </c>
      <c r="C29" s="240">
        <v>17.774597561470806</v>
      </c>
      <c r="D29" s="241">
        <v>20.313825784538068</v>
      </c>
      <c r="E29" s="241">
        <v>12.696141115336291</v>
      </c>
      <c r="F29" s="241">
        <v>15.235369338403553</v>
      </c>
      <c r="G29" s="241">
        <v>10.156912892269034</v>
      </c>
      <c r="H29" s="241">
        <v>33.009966899874364</v>
      </c>
      <c r="I29" s="241">
        <v>43.166879792143391</v>
      </c>
      <c r="J29" s="241">
        <v>43.166879792143391</v>
      </c>
      <c r="K29" s="241">
        <v>40.627651569076136</v>
      </c>
      <c r="L29" s="241">
        <v>12.696141115336291</v>
      </c>
      <c r="M29" s="241">
        <v>12.696141115336291</v>
      </c>
      <c r="N29" s="241">
        <v>15.235369338403553</v>
      </c>
      <c r="O29" s="242">
        <v>276.77587631433113</v>
      </c>
    </row>
    <row r="30" spans="1:15" x14ac:dyDescent="0.2">
      <c r="A30" s="236"/>
      <c r="B30" s="108" t="s">
        <v>50</v>
      </c>
      <c r="C30" s="109">
        <v>25.920656123082722</v>
      </c>
      <c r="D30" s="97">
        <v>29.623606997808825</v>
      </c>
      <c r="E30" s="97">
        <v>18.514754373630517</v>
      </c>
      <c r="F30" s="97">
        <v>22.217705248356619</v>
      </c>
      <c r="G30" s="97">
        <v>14.811803498904412</v>
      </c>
      <c r="H30" s="97">
        <v>48.138361371439338</v>
      </c>
      <c r="I30" s="97">
        <v>62.950164870343755</v>
      </c>
      <c r="J30" s="97">
        <v>62.950164870343755</v>
      </c>
      <c r="K30" s="97">
        <v>59.247213995617649</v>
      </c>
      <c r="L30" s="97">
        <v>18.514754373630517</v>
      </c>
      <c r="M30" s="97">
        <v>18.514754373630517</v>
      </c>
      <c r="N30" s="97">
        <v>22.217705248356619</v>
      </c>
      <c r="O30" s="110">
        <v>403.62164534514523</v>
      </c>
    </row>
    <row r="31" spans="1:15" x14ac:dyDescent="0.2">
      <c r="A31" s="236"/>
      <c r="B31" s="108" t="s">
        <v>90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">
      <c r="A32" s="236"/>
      <c r="B32" s="108" t="s">
        <v>92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">
      <c r="A33" s="98" t="s">
        <v>16</v>
      </c>
      <c r="B33" s="98" t="s">
        <v>71</v>
      </c>
      <c r="C33" s="105">
        <v>18.491184843524962</v>
      </c>
      <c r="D33" s="106">
        <v>30.818641405874935</v>
      </c>
      <c r="E33" s="106">
        <v>24.654913124699949</v>
      </c>
      <c r="F33" s="106">
        <v>24.654913124699949</v>
      </c>
      <c r="G33" s="106">
        <v>18.491184843524962</v>
      </c>
      <c r="H33" s="106">
        <v>30.818641405874935</v>
      </c>
      <c r="I33" s="106">
        <v>30.818641405874935</v>
      </c>
      <c r="J33" s="106">
        <v>24.654913124699949</v>
      </c>
      <c r="K33" s="106">
        <v>24.654913124699949</v>
      </c>
      <c r="L33" s="106">
        <v>24.654913124699949</v>
      </c>
      <c r="M33" s="106">
        <v>24.654913124699949</v>
      </c>
      <c r="N33" s="106">
        <v>6.1637282811749872</v>
      </c>
      <c r="O33" s="107">
        <v>283.53150093404946</v>
      </c>
    </row>
    <row r="34" spans="1:15" x14ac:dyDescent="0.2">
      <c r="A34" s="236"/>
      <c r="B34" s="108" t="s">
        <v>25</v>
      </c>
      <c r="C34" s="240">
        <v>7.3823322193466527</v>
      </c>
      <c r="D34" s="241">
        <v>12.303887032244418</v>
      </c>
      <c r="E34" s="241">
        <v>9.8431096257955364</v>
      </c>
      <c r="F34" s="241">
        <v>9.8431096257955364</v>
      </c>
      <c r="G34" s="241">
        <v>7.3823322193466527</v>
      </c>
      <c r="H34" s="241">
        <v>12.303887032244418</v>
      </c>
      <c r="I34" s="241">
        <v>12.303887032244418</v>
      </c>
      <c r="J34" s="241">
        <v>9.8431096257955364</v>
      </c>
      <c r="K34" s="241">
        <v>9.8431096257955364</v>
      </c>
      <c r="L34" s="241">
        <v>9.8431096257955364</v>
      </c>
      <c r="M34" s="241">
        <v>9.8431096257955364</v>
      </c>
      <c r="N34" s="241">
        <v>2.4607774064488841</v>
      </c>
      <c r="O34" s="242">
        <v>113.19576069664865</v>
      </c>
    </row>
    <row r="35" spans="1:15" x14ac:dyDescent="0.2">
      <c r="A35" s="236"/>
      <c r="B35" s="108" t="s">
        <v>26</v>
      </c>
      <c r="C35" s="240">
        <v>0.2353524498551233</v>
      </c>
      <c r="D35" s="241">
        <v>0.39225408309187215</v>
      </c>
      <c r="E35" s="241">
        <v>0.31380326647349771</v>
      </c>
      <c r="F35" s="241">
        <v>0.31380326647349771</v>
      </c>
      <c r="G35" s="241">
        <v>0.2353524498551233</v>
      </c>
      <c r="H35" s="241">
        <v>0.39225408309187215</v>
      </c>
      <c r="I35" s="241">
        <v>0.39225408309187215</v>
      </c>
      <c r="J35" s="241">
        <v>0.31380326647349771</v>
      </c>
      <c r="K35" s="241">
        <v>0.31380326647349771</v>
      </c>
      <c r="L35" s="241">
        <v>0.31380326647349771</v>
      </c>
      <c r="M35" s="241">
        <v>0.31380326647349771</v>
      </c>
      <c r="N35" s="241">
        <v>7.8450816618374428E-2</v>
      </c>
      <c r="O35" s="242">
        <v>3.6087375644452231</v>
      </c>
    </row>
    <row r="36" spans="1:15" x14ac:dyDescent="0.2">
      <c r="A36" s="236"/>
      <c r="B36" s="108" t="s">
        <v>27</v>
      </c>
      <c r="C36" s="240">
        <v>7.6176846692017763</v>
      </c>
      <c r="D36" s="241">
        <v>12.696141115336291</v>
      </c>
      <c r="E36" s="241">
        <v>10.156912892269034</v>
      </c>
      <c r="F36" s="241">
        <v>10.156912892269034</v>
      </c>
      <c r="G36" s="241">
        <v>7.6176846692017763</v>
      </c>
      <c r="H36" s="241">
        <v>12.696141115336291</v>
      </c>
      <c r="I36" s="241">
        <v>12.696141115336291</v>
      </c>
      <c r="J36" s="241">
        <v>10.156912892269034</v>
      </c>
      <c r="K36" s="241">
        <v>10.156912892269034</v>
      </c>
      <c r="L36" s="241">
        <v>10.156912892269034</v>
      </c>
      <c r="M36" s="241">
        <v>10.156912892269034</v>
      </c>
      <c r="N36" s="241">
        <v>2.5392282230672585</v>
      </c>
      <c r="O36" s="242">
        <v>116.80449826109388</v>
      </c>
    </row>
    <row r="37" spans="1:15" x14ac:dyDescent="0.2">
      <c r="A37" s="236"/>
      <c r="B37" s="108" t="s">
        <v>50</v>
      </c>
      <c r="C37" s="109">
        <v>11.10885262417831</v>
      </c>
      <c r="D37" s="97">
        <v>18.514754373630517</v>
      </c>
      <c r="E37" s="97">
        <v>14.811803498904412</v>
      </c>
      <c r="F37" s="97">
        <v>14.811803498904412</v>
      </c>
      <c r="G37" s="97">
        <v>11.10885262417831</v>
      </c>
      <c r="H37" s="97">
        <v>18.514754373630517</v>
      </c>
      <c r="I37" s="97">
        <v>18.514754373630517</v>
      </c>
      <c r="J37" s="97">
        <v>14.811803498904412</v>
      </c>
      <c r="K37" s="97">
        <v>14.811803498904412</v>
      </c>
      <c r="L37" s="97">
        <v>14.811803498904412</v>
      </c>
      <c r="M37" s="97">
        <v>14.811803498904412</v>
      </c>
      <c r="N37" s="97">
        <v>3.7029508747261031</v>
      </c>
      <c r="O37" s="110">
        <v>170.33574023740076</v>
      </c>
    </row>
    <row r="38" spans="1:15" x14ac:dyDescent="0.2">
      <c r="A38" s="236"/>
      <c r="B38" s="108" t="s">
        <v>90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">
      <c r="A39" s="236"/>
      <c r="B39" s="108" t="s">
        <v>92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">
      <c r="A40" s="98" t="s">
        <v>19</v>
      </c>
      <c r="B40" s="98" t="s">
        <v>71</v>
      </c>
      <c r="C40" s="105">
        <v>228.05794640347452</v>
      </c>
      <c r="D40" s="106">
        <v>203.40303327877459</v>
      </c>
      <c r="E40" s="106">
        <v>289.6952292152244</v>
      </c>
      <c r="F40" s="106">
        <v>240.38540296582451</v>
      </c>
      <c r="G40" s="106">
        <v>283.5315009340494</v>
      </c>
      <c r="H40" s="106">
        <v>314.35014233992433</v>
      </c>
      <c r="I40" s="106">
        <v>283.5315009340494</v>
      </c>
      <c r="J40" s="106">
        <v>308.18641405874934</v>
      </c>
      <c r="K40" s="106">
        <v>277.36777265287441</v>
      </c>
      <c r="L40" s="106">
        <v>283.5315009340494</v>
      </c>
      <c r="M40" s="106">
        <v>295.8589574963994</v>
      </c>
      <c r="N40" s="106">
        <v>258.87658780934947</v>
      </c>
      <c r="O40" s="107">
        <v>3266.7759890227435</v>
      </c>
    </row>
    <row r="41" spans="1:15" x14ac:dyDescent="0.2">
      <c r="A41" s="236"/>
      <c r="B41" s="108" t="s">
        <v>25</v>
      </c>
      <c r="C41" s="240">
        <v>91.048764038608709</v>
      </c>
      <c r="D41" s="241">
        <v>81.205654412813189</v>
      </c>
      <c r="E41" s="241">
        <v>115.65653810309755</v>
      </c>
      <c r="F41" s="241">
        <v>95.970318851506505</v>
      </c>
      <c r="G41" s="241">
        <v>113.19576069664868</v>
      </c>
      <c r="H41" s="241">
        <v>125.49964772889308</v>
      </c>
      <c r="I41" s="241">
        <v>113.19576069664868</v>
      </c>
      <c r="J41" s="241">
        <v>123.03887032244418</v>
      </c>
      <c r="K41" s="241">
        <v>110.73498329019978</v>
      </c>
      <c r="L41" s="241">
        <v>113.19576069664868</v>
      </c>
      <c r="M41" s="241">
        <v>118.11731550954644</v>
      </c>
      <c r="N41" s="241">
        <v>103.35265107085314</v>
      </c>
      <c r="O41" s="242">
        <v>1304.2120254179085</v>
      </c>
    </row>
    <row r="42" spans="1:15" x14ac:dyDescent="0.2">
      <c r="A42" s="236"/>
      <c r="B42" s="108" t="s">
        <v>26</v>
      </c>
      <c r="C42" s="240">
        <v>2.9026802148798541</v>
      </c>
      <c r="D42" s="241">
        <v>2.5888769484063561</v>
      </c>
      <c r="E42" s="241">
        <v>3.6871883810635984</v>
      </c>
      <c r="F42" s="241">
        <v>3.0595818481166028</v>
      </c>
      <c r="G42" s="241">
        <v>3.608737564445224</v>
      </c>
      <c r="H42" s="241">
        <v>4.0009916475370968</v>
      </c>
      <c r="I42" s="241">
        <v>3.608737564445224</v>
      </c>
      <c r="J42" s="241">
        <v>3.922540830918722</v>
      </c>
      <c r="K42" s="241">
        <v>3.5302867478268496</v>
      </c>
      <c r="L42" s="241">
        <v>3.608737564445224</v>
      </c>
      <c r="M42" s="241">
        <v>3.7656391976819727</v>
      </c>
      <c r="N42" s="241">
        <v>3.294934297971726</v>
      </c>
      <c r="O42" s="242">
        <v>41.578932807738447</v>
      </c>
    </row>
    <row r="43" spans="1:15" x14ac:dyDescent="0.2">
      <c r="A43" s="236"/>
      <c r="B43" s="108" t="s">
        <v>27</v>
      </c>
      <c r="C43" s="240">
        <v>93.95144425348856</v>
      </c>
      <c r="D43" s="241">
        <v>83.794531361219541</v>
      </c>
      <c r="E43" s="241">
        <v>119.34372648416114</v>
      </c>
      <c r="F43" s="241">
        <v>99.029900699623113</v>
      </c>
      <c r="G43" s="241">
        <v>116.8044982610939</v>
      </c>
      <c r="H43" s="241">
        <v>129.50063937643017</v>
      </c>
      <c r="I43" s="241">
        <v>116.8044982610939</v>
      </c>
      <c r="J43" s="241">
        <v>126.9614111533629</v>
      </c>
      <c r="K43" s="241">
        <v>114.26527003802663</v>
      </c>
      <c r="L43" s="241">
        <v>116.8044982610939</v>
      </c>
      <c r="M43" s="241">
        <v>121.88295470722842</v>
      </c>
      <c r="N43" s="241">
        <v>106.64758536882486</v>
      </c>
      <c r="O43" s="242">
        <v>1345.790958225647</v>
      </c>
    </row>
    <row r="44" spans="1:15" x14ac:dyDescent="0.2">
      <c r="A44" s="236"/>
      <c r="B44" s="108" t="s">
        <v>50</v>
      </c>
      <c r="C44" s="109">
        <v>137.00918236486581</v>
      </c>
      <c r="D44" s="97">
        <v>122.1973788659614</v>
      </c>
      <c r="E44" s="97">
        <v>174.03869111212686</v>
      </c>
      <c r="F44" s="97">
        <v>144.41508411431801</v>
      </c>
      <c r="G44" s="97">
        <v>170.33574023740073</v>
      </c>
      <c r="H44" s="97">
        <v>188.85049461103125</v>
      </c>
      <c r="I44" s="97">
        <v>170.33574023740073</v>
      </c>
      <c r="J44" s="97">
        <v>185.14754373630515</v>
      </c>
      <c r="K44" s="97">
        <v>166.63278936267463</v>
      </c>
      <c r="L44" s="97">
        <v>170.33574023740073</v>
      </c>
      <c r="M44" s="97">
        <v>177.74164198685295</v>
      </c>
      <c r="N44" s="97">
        <v>155.52393673849633</v>
      </c>
      <c r="O44" s="110">
        <v>1962.5639636048345</v>
      </c>
    </row>
    <row r="45" spans="1:15" x14ac:dyDescent="0.2">
      <c r="A45" s="236"/>
      <c r="B45" s="108" t="s">
        <v>90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">
      <c r="A46" s="236"/>
      <c r="B46" s="108" t="s">
        <v>92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">
      <c r="A47" s="98" t="s">
        <v>8</v>
      </c>
      <c r="B47" s="98" t="s">
        <v>71</v>
      </c>
      <c r="C47" s="105">
        <v>468.44334936929903</v>
      </c>
      <c r="D47" s="106">
        <v>610.20909983632373</v>
      </c>
      <c r="E47" s="106">
        <v>406.80606655754917</v>
      </c>
      <c r="F47" s="106">
        <v>412.96979483872411</v>
      </c>
      <c r="G47" s="106">
        <v>622.53655639867372</v>
      </c>
      <c r="H47" s="106">
        <v>869.08568764567315</v>
      </c>
      <c r="I47" s="106">
        <v>893.74060077037313</v>
      </c>
      <c r="J47" s="106">
        <v>918.39551389507312</v>
      </c>
      <c r="K47" s="106">
        <v>924.55924217624806</v>
      </c>
      <c r="L47" s="106">
        <v>702.66502405394851</v>
      </c>
      <c r="M47" s="106">
        <v>406.80606655754917</v>
      </c>
      <c r="N47" s="106">
        <v>443.7884362445991</v>
      </c>
      <c r="O47" s="107">
        <v>7680.0054383440356</v>
      </c>
    </row>
    <row r="48" spans="1:15" x14ac:dyDescent="0.2">
      <c r="A48" s="236"/>
      <c r="B48" s="108" t="s">
        <v>25</v>
      </c>
      <c r="C48" s="240">
        <v>187.01908289011521</v>
      </c>
      <c r="D48" s="241">
        <v>243.61696323843955</v>
      </c>
      <c r="E48" s="241">
        <v>162.41130882562638</v>
      </c>
      <c r="F48" s="241">
        <v>164.87208623207522</v>
      </c>
      <c r="G48" s="241">
        <v>248.53851805133729</v>
      </c>
      <c r="H48" s="241">
        <v>346.96961430929264</v>
      </c>
      <c r="I48" s="241">
        <v>356.81272393508823</v>
      </c>
      <c r="J48" s="241">
        <v>366.65583356088382</v>
      </c>
      <c r="K48" s="241">
        <v>369.11661096733258</v>
      </c>
      <c r="L48" s="241">
        <v>280.52862433517276</v>
      </c>
      <c r="M48" s="241">
        <v>162.41130882562638</v>
      </c>
      <c r="N48" s="241">
        <v>177.17597326431968</v>
      </c>
      <c r="O48" s="242">
        <v>3066.12864843531</v>
      </c>
    </row>
    <row r="49" spans="1:15" x14ac:dyDescent="0.2">
      <c r="A49" s="236"/>
      <c r="B49" s="108" t="s">
        <v>26</v>
      </c>
      <c r="C49" s="240">
        <v>5.9622620629964569</v>
      </c>
      <c r="D49" s="241">
        <v>7.76663084521907</v>
      </c>
      <c r="E49" s="241">
        <v>5.1777538968127121</v>
      </c>
      <c r="F49" s="241">
        <v>5.256204713431087</v>
      </c>
      <c r="G49" s="241">
        <v>7.9235324784558188</v>
      </c>
      <c r="H49" s="241">
        <v>11.061565143190796</v>
      </c>
      <c r="I49" s="241">
        <v>11.375368409664294</v>
      </c>
      <c r="J49" s="241">
        <v>11.689171676137791</v>
      </c>
      <c r="K49" s="241">
        <v>11.767622492756166</v>
      </c>
      <c r="L49" s="241">
        <v>8.9433930944946862</v>
      </c>
      <c r="M49" s="241">
        <v>5.1777538968127121</v>
      </c>
      <c r="N49" s="241">
        <v>5.6484587965229593</v>
      </c>
      <c r="O49" s="242">
        <v>97.749717506494548</v>
      </c>
    </row>
    <row r="50" spans="1:15" x14ac:dyDescent="0.2">
      <c r="A50" s="236"/>
      <c r="B50" s="108" t="s">
        <v>27</v>
      </c>
      <c r="C50" s="240">
        <v>192.98134495311166</v>
      </c>
      <c r="D50" s="241">
        <v>251.38359408365864</v>
      </c>
      <c r="E50" s="241">
        <v>167.58906272243908</v>
      </c>
      <c r="F50" s="241">
        <v>170.12829094550631</v>
      </c>
      <c r="G50" s="241">
        <v>256.46205052979309</v>
      </c>
      <c r="H50" s="241">
        <v>358.03117945248346</v>
      </c>
      <c r="I50" s="241">
        <v>368.18809234475253</v>
      </c>
      <c r="J50" s="241">
        <v>378.34500523702161</v>
      </c>
      <c r="K50" s="241">
        <v>380.88423346008875</v>
      </c>
      <c r="L50" s="241">
        <v>289.47201742966746</v>
      </c>
      <c r="M50" s="241">
        <v>167.58906272243908</v>
      </c>
      <c r="N50" s="241">
        <v>182.82443206084264</v>
      </c>
      <c r="O50" s="242">
        <v>3163.8783659418041</v>
      </c>
    </row>
    <row r="51" spans="1:15" x14ac:dyDescent="0.2">
      <c r="A51" s="236"/>
      <c r="B51" s="108" t="s">
        <v>50</v>
      </c>
      <c r="C51" s="109">
        <v>281.42426647918381</v>
      </c>
      <c r="D51" s="97">
        <v>366.59213659788418</v>
      </c>
      <c r="E51" s="97">
        <v>244.39475773192279</v>
      </c>
      <c r="F51" s="97">
        <v>248.09770860664889</v>
      </c>
      <c r="G51" s="97">
        <v>373.99803834733643</v>
      </c>
      <c r="H51" s="97">
        <v>522.11607333638051</v>
      </c>
      <c r="I51" s="97">
        <v>536.92787683528491</v>
      </c>
      <c r="J51" s="97">
        <v>551.7396803341893</v>
      </c>
      <c r="K51" s="97">
        <v>555.44263120891549</v>
      </c>
      <c r="L51" s="97">
        <v>422.13639971877575</v>
      </c>
      <c r="M51" s="97">
        <v>244.39475773192279</v>
      </c>
      <c r="N51" s="97">
        <v>266.61246298027942</v>
      </c>
      <c r="O51" s="110">
        <v>4613.8767899087252</v>
      </c>
    </row>
    <row r="52" spans="1:15" x14ac:dyDescent="0.2">
      <c r="A52" s="236"/>
      <c r="B52" s="108" t="s">
        <v>90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">
      <c r="A53" s="236"/>
      <c r="B53" s="108" t="s">
        <v>92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">
      <c r="A54" s="98" t="s">
        <v>21</v>
      </c>
      <c r="B54" s="98" t="s">
        <v>71</v>
      </c>
      <c r="C54" s="105">
        <v>15631.214921059767</v>
      </c>
      <c r="D54" s="106">
        <v>18343.255364776764</v>
      </c>
      <c r="E54" s="106">
        <v>13578.693403428497</v>
      </c>
      <c r="F54" s="106">
        <v>13227.360891401522</v>
      </c>
      <c r="G54" s="106">
        <v>18250.799440559138</v>
      </c>
      <c r="H54" s="106">
        <v>23588.588132056677</v>
      </c>
      <c r="I54" s="106">
        <v>24272.7619712671</v>
      </c>
      <c r="J54" s="106">
        <v>24667.2405812623</v>
      </c>
      <c r="K54" s="106">
        <v>24833.661244854022</v>
      </c>
      <c r="L54" s="106">
        <v>19249.323422109486</v>
      </c>
      <c r="M54" s="106">
        <v>13948.517100298996</v>
      </c>
      <c r="N54" s="106">
        <v>14663.509580915295</v>
      </c>
      <c r="O54" s="107">
        <v>224254.92605398953</v>
      </c>
    </row>
    <row r="55" spans="1:15" x14ac:dyDescent="0.2">
      <c r="A55" s="236"/>
      <c r="B55" s="108" t="s">
        <v>25</v>
      </c>
      <c r="C55" s="240">
        <v>6240.5315027543693</v>
      </c>
      <c r="D55" s="241">
        <v>7323.2735615918809</v>
      </c>
      <c r="E55" s="241">
        <v>5421.0926264068921</v>
      </c>
      <c r="F55" s="241">
        <v>5280.8283142393047</v>
      </c>
      <c r="G55" s="241">
        <v>7286.361900495147</v>
      </c>
      <c r="H55" s="241">
        <v>9417.3951344798807</v>
      </c>
      <c r="I55" s="241">
        <v>9690.5414265957061</v>
      </c>
      <c r="J55" s="241">
        <v>9848.0311806084355</v>
      </c>
      <c r="K55" s="241">
        <v>9914.4721705825523</v>
      </c>
      <c r="L55" s="241">
        <v>7685.0078403398657</v>
      </c>
      <c r="M55" s="241">
        <v>5568.7392707938234</v>
      </c>
      <c r="N55" s="241">
        <v>5854.1894499418959</v>
      </c>
      <c r="O55" s="242">
        <v>89530.464378829769</v>
      </c>
    </row>
    <row r="56" spans="1:15" x14ac:dyDescent="0.2">
      <c r="A56" s="236"/>
      <c r="B56" s="108" t="s">
        <v>26</v>
      </c>
      <c r="C56" s="240">
        <v>198.95127094419755</v>
      </c>
      <c r="D56" s="241">
        <v>233.46963025628233</v>
      </c>
      <c r="E56" s="241">
        <v>172.82714901027887</v>
      </c>
      <c r="F56" s="241">
        <v>168.35545246303153</v>
      </c>
      <c r="G56" s="241">
        <v>232.29286800700669</v>
      </c>
      <c r="H56" s="241">
        <v>300.23127519851892</v>
      </c>
      <c r="I56" s="241">
        <v>308.93931584315851</v>
      </c>
      <c r="J56" s="241">
        <v>313.96016810673444</v>
      </c>
      <c r="K56" s="241">
        <v>316.07834015543057</v>
      </c>
      <c r="L56" s="241">
        <v>245.00190029918338</v>
      </c>
      <c r="M56" s="241">
        <v>177.53419800738135</v>
      </c>
      <c r="N56" s="241">
        <v>186.63449273511276</v>
      </c>
      <c r="O56" s="242">
        <v>2854.2760610263172</v>
      </c>
    </row>
    <row r="57" spans="1:15" x14ac:dyDescent="0.2">
      <c r="A57" s="236"/>
      <c r="B57" s="108" t="s">
        <v>27</v>
      </c>
      <c r="C57" s="240">
        <v>6439.4827736985671</v>
      </c>
      <c r="D57" s="241">
        <v>7556.7431918481634</v>
      </c>
      <c r="E57" s="241">
        <v>5593.919775417171</v>
      </c>
      <c r="F57" s="241">
        <v>5449.1837667023365</v>
      </c>
      <c r="G57" s="241">
        <v>7518.6547685021533</v>
      </c>
      <c r="H57" s="241">
        <v>9717.6264096783998</v>
      </c>
      <c r="I57" s="241">
        <v>9999.4807424388637</v>
      </c>
      <c r="J57" s="241">
        <v>10161.99134871517</v>
      </c>
      <c r="K57" s="241">
        <v>10230.550510737983</v>
      </c>
      <c r="L57" s="241">
        <v>7930.0097406390487</v>
      </c>
      <c r="M57" s="241">
        <v>5746.2734688012051</v>
      </c>
      <c r="N57" s="241">
        <v>6040.8239426770087</v>
      </c>
      <c r="O57" s="242">
        <v>92384.740439856076</v>
      </c>
    </row>
    <row r="58" spans="1:15" x14ac:dyDescent="0.2">
      <c r="A58" s="236"/>
      <c r="B58" s="108" t="s">
        <v>50</v>
      </c>
      <c r="C58" s="109">
        <v>9390.6834183053979</v>
      </c>
      <c r="D58" s="97">
        <v>11019.981803184883</v>
      </c>
      <c r="E58" s="97">
        <v>8157.6007770216047</v>
      </c>
      <c r="F58" s="97">
        <v>7946.5325771622174</v>
      </c>
      <c r="G58" s="97">
        <v>10964.437540063991</v>
      </c>
      <c r="H58" s="97">
        <v>14171.192997576796</v>
      </c>
      <c r="I58" s="97">
        <v>14582.220544671394</v>
      </c>
      <c r="J58" s="97">
        <v>14819.209400653865</v>
      </c>
      <c r="K58" s="97">
        <v>14919.18907427147</v>
      </c>
      <c r="L58" s="97">
        <v>11564.315581769621</v>
      </c>
      <c r="M58" s="97">
        <v>8379.7778295051721</v>
      </c>
      <c r="N58" s="97">
        <v>8809.3201309733995</v>
      </c>
      <c r="O58" s="110">
        <v>134724.46167515981</v>
      </c>
    </row>
    <row r="59" spans="1:15" x14ac:dyDescent="0.2">
      <c r="A59" s="236"/>
      <c r="B59" s="108" t="s">
        <v>90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">
      <c r="A60" s="236"/>
      <c r="B60" s="108" t="s">
        <v>92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">
      <c r="A61" s="98" t="s">
        <v>22</v>
      </c>
      <c r="B61" s="98" t="s">
        <v>71</v>
      </c>
      <c r="C61" s="105">
        <v>17079.691067135889</v>
      </c>
      <c r="D61" s="106">
        <v>19329.451889764761</v>
      </c>
      <c r="E61" s="106">
        <v>14416.960449668295</v>
      </c>
      <c r="F61" s="106">
        <v>14755.965505132919</v>
      </c>
      <c r="G61" s="106">
        <v>17301.585285258188</v>
      </c>
      <c r="H61" s="106">
        <v>20617.671100530333</v>
      </c>
      <c r="I61" s="106">
        <v>21727.142191141829</v>
      </c>
      <c r="J61" s="106">
        <v>21659.341180048905</v>
      </c>
      <c r="K61" s="106">
        <v>21486.756788176004</v>
      </c>
      <c r="L61" s="106">
        <v>17116.673436822941</v>
      </c>
      <c r="M61" s="106">
        <v>14077.955394203671</v>
      </c>
      <c r="N61" s="106">
        <v>14947.041081849344</v>
      </c>
      <c r="O61" s="107">
        <v>214516.2353697331</v>
      </c>
    </row>
    <row r="62" spans="1:15" x14ac:dyDescent="0.2">
      <c r="A62" s="236"/>
      <c r="B62" s="108" t="s">
        <v>25</v>
      </c>
      <c r="C62" s="240">
        <v>6818.8141932698582</v>
      </c>
      <c r="D62" s="241">
        <v>7716.9979466237019</v>
      </c>
      <c r="E62" s="241">
        <v>5755.7583536839393</v>
      </c>
      <c r="F62" s="241">
        <v>5891.101111038628</v>
      </c>
      <c r="G62" s="241">
        <v>6907.4021799020175</v>
      </c>
      <c r="H62" s="241">
        <v>8231.3004245715183</v>
      </c>
      <c r="I62" s="241">
        <v>8674.2403577323166</v>
      </c>
      <c r="J62" s="241">
        <v>8647.1718062613782</v>
      </c>
      <c r="K62" s="241">
        <v>8578.270038880808</v>
      </c>
      <c r="L62" s="241">
        <v>6833.5788577085532</v>
      </c>
      <c r="M62" s="241">
        <v>5620.4155963292524</v>
      </c>
      <c r="N62" s="241">
        <v>5967.3852106385439</v>
      </c>
      <c r="O62" s="242">
        <v>85642.43607664053</v>
      </c>
    </row>
    <row r="63" spans="1:15" x14ac:dyDescent="0.2">
      <c r="A63" s="236"/>
      <c r="B63" s="108" t="s">
        <v>26</v>
      </c>
      <c r="C63" s="240">
        <v>217.38721284951555</v>
      </c>
      <c r="D63" s="241">
        <v>246.02176091522225</v>
      </c>
      <c r="E63" s="241">
        <v>183.49646007037779</v>
      </c>
      <c r="F63" s="241">
        <v>187.8112549843884</v>
      </c>
      <c r="G63" s="241">
        <v>220.21144224777703</v>
      </c>
      <c r="H63" s="241">
        <v>262.41798158846251</v>
      </c>
      <c r="I63" s="241">
        <v>276.53912857976985</v>
      </c>
      <c r="J63" s="241">
        <v>275.67616959696772</v>
      </c>
      <c r="K63" s="241">
        <v>273.47954673165327</v>
      </c>
      <c r="L63" s="241">
        <v>217.85791774922581</v>
      </c>
      <c r="M63" s="241">
        <v>179.18166515636719</v>
      </c>
      <c r="N63" s="241">
        <v>190.24323029955801</v>
      </c>
      <c r="O63" s="242">
        <v>2730.3237707692851</v>
      </c>
    </row>
    <row r="64" spans="1:15" x14ac:dyDescent="0.2">
      <c r="A64" s="236"/>
      <c r="B64" s="108" t="s">
        <v>27</v>
      </c>
      <c r="C64" s="240">
        <v>7036.201406119374</v>
      </c>
      <c r="D64" s="241">
        <v>7963.0197075389242</v>
      </c>
      <c r="E64" s="241">
        <v>5939.2548137543172</v>
      </c>
      <c r="F64" s="241">
        <v>6078.9123660230161</v>
      </c>
      <c r="G64" s="241">
        <v>7127.6136221497945</v>
      </c>
      <c r="H64" s="241">
        <v>8493.7184061599801</v>
      </c>
      <c r="I64" s="241">
        <v>8950.7794863120871</v>
      </c>
      <c r="J64" s="241">
        <v>8922.8479758583453</v>
      </c>
      <c r="K64" s="241">
        <v>8851.7495856124606</v>
      </c>
      <c r="L64" s="241">
        <v>7051.4367754577788</v>
      </c>
      <c r="M64" s="241">
        <v>5799.5972614856191</v>
      </c>
      <c r="N64" s="241">
        <v>6157.6284409381014</v>
      </c>
      <c r="O64" s="242">
        <v>88372.759847409805</v>
      </c>
    </row>
    <row r="65" spans="1:15" x14ac:dyDescent="0.2">
      <c r="A65" s="236"/>
      <c r="B65" s="108" t="s">
        <v>50</v>
      </c>
      <c r="C65" s="109">
        <v>10260.876873866031</v>
      </c>
      <c r="D65" s="97">
        <v>11612.453943141059</v>
      </c>
      <c r="E65" s="97">
        <v>8661.2020959843558</v>
      </c>
      <c r="F65" s="97">
        <v>8864.8643940942911</v>
      </c>
      <c r="G65" s="97">
        <v>10394.183105356171</v>
      </c>
      <c r="H65" s="97">
        <v>12386.370675958815</v>
      </c>
      <c r="I65" s="97">
        <v>13052.901833409513</v>
      </c>
      <c r="J65" s="97">
        <v>13012.169373787527</v>
      </c>
      <c r="K65" s="97">
        <v>12908.486749295196</v>
      </c>
      <c r="L65" s="97">
        <v>10283.094579114388</v>
      </c>
      <c r="M65" s="97">
        <v>8457.5397978744186</v>
      </c>
      <c r="N65" s="97">
        <v>8979.6558712107999</v>
      </c>
      <c r="O65" s="110">
        <v>128873.79929309257</v>
      </c>
    </row>
    <row r="66" spans="1:15" x14ac:dyDescent="0.2">
      <c r="A66" s="236"/>
      <c r="B66" s="108" t="s">
        <v>90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">
      <c r="A67" s="236"/>
      <c r="B67" s="108" t="s">
        <v>92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">
      <c r="A68" s="98" t="s">
        <v>9</v>
      </c>
      <c r="B68" s="98" t="s">
        <v>71</v>
      </c>
      <c r="C68" s="105">
        <v>265.04031609052447</v>
      </c>
      <c r="D68" s="106">
        <v>295.8589574963994</v>
      </c>
      <c r="E68" s="106">
        <v>215.73048984112455</v>
      </c>
      <c r="F68" s="106">
        <v>178.74812015407463</v>
      </c>
      <c r="G68" s="106">
        <v>209.56676155994955</v>
      </c>
      <c r="H68" s="106">
        <v>277.36777265287441</v>
      </c>
      <c r="I68" s="106">
        <v>295.8589574963994</v>
      </c>
      <c r="J68" s="106">
        <v>283.5315009340494</v>
      </c>
      <c r="K68" s="106">
        <v>283.5315009340494</v>
      </c>
      <c r="L68" s="106">
        <v>252.71285952817448</v>
      </c>
      <c r="M68" s="106">
        <v>246.54913124699948</v>
      </c>
      <c r="N68" s="106">
        <v>240.38540296582451</v>
      </c>
      <c r="O68" s="107">
        <v>3044.8817709004438</v>
      </c>
    </row>
    <row r="69" spans="1:15" x14ac:dyDescent="0.2">
      <c r="A69" s="236"/>
      <c r="B69" s="108" t="s">
        <v>25</v>
      </c>
      <c r="C69" s="240">
        <v>105.81342847730204</v>
      </c>
      <c r="D69" s="241">
        <v>118.11731550954644</v>
      </c>
      <c r="E69" s="241">
        <v>86.127209225710942</v>
      </c>
      <c r="F69" s="241">
        <v>71.36254478701764</v>
      </c>
      <c r="G69" s="241">
        <v>83.666431819262044</v>
      </c>
      <c r="H69" s="241">
        <v>110.73498329019978</v>
      </c>
      <c r="I69" s="241">
        <v>118.11731550954644</v>
      </c>
      <c r="J69" s="241">
        <v>113.19576069664868</v>
      </c>
      <c r="K69" s="241">
        <v>113.19576069664868</v>
      </c>
      <c r="L69" s="241">
        <v>100.89187366440424</v>
      </c>
      <c r="M69" s="241">
        <v>98.431096257955346</v>
      </c>
      <c r="N69" s="241">
        <v>95.970318851506505</v>
      </c>
      <c r="O69" s="242">
        <v>1215.6240387857488</v>
      </c>
    </row>
    <row r="70" spans="1:15" x14ac:dyDescent="0.2">
      <c r="A70" s="236"/>
      <c r="B70" s="108" t="s">
        <v>26</v>
      </c>
      <c r="C70" s="240">
        <v>3.3733851145901004</v>
      </c>
      <c r="D70" s="241">
        <v>3.7656391976819727</v>
      </c>
      <c r="E70" s="241">
        <v>2.7457785816431053</v>
      </c>
      <c r="F70" s="241">
        <v>2.2750736819328585</v>
      </c>
      <c r="G70" s="241">
        <v>2.6673277650247309</v>
      </c>
      <c r="H70" s="241">
        <v>3.5302867478268496</v>
      </c>
      <c r="I70" s="241">
        <v>3.7656391976819727</v>
      </c>
      <c r="J70" s="241">
        <v>3.608737564445224</v>
      </c>
      <c r="K70" s="241">
        <v>3.608737564445224</v>
      </c>
      <c r="L70" s="241">
        <v>3.2164834813533516</v>
      </c>
      <c r="M70" s="241">
        <v>3.1380326647349772</v>
      </c>
      <c r="N70" s="241">
        <v>3.0595818481166028</v>
      </c>
      <c r="O70" s="242">
        <v>38.754703409476974</v>
      </c>
    </row>
    <row r="71" spans="1:15" x14ac:dyDescent="0.2">
      <c r="A71" s="236"/>
      <c r="B71" s="108" t="s">
        <v>27</v>
      </c>
      <c r="C71" s="240">
        <v>109.18681359189215</v>
      </c>
      <c r="D71" s="241">
        <v>121.88295470722842</v>
      </c>
      <c r="E71" s="241">
        <v>88.87298780735405</v>
      </c>
      <c r="F71" s="241">
        <v>73.637618468950492</v>
      </c>
      <c r="G71" s="241">
        <v>86.333759584286781</v>
      </c>
      <c r="H71" s="241">
        <v>114.26527003802663</v>
      </c>
      <c r="I71" s="241">
        <v>121.88295470722842</v>
      </c>
      <c r="J71" s="241">
        <v>116.8044982610939</v>
      </c>
      <c r="K71" s="241">
        <v>116.8044982610939</v>
      </c>
      <c r="L71" s="241">
        <v>104.10835714575759</v>
      </c>
      <c r="M71" s="241">
        <v>101.56912892269033</v>
      </c>
      <c r="N71" s="241">
        <v>99.029900699623113</v>
      </c>
      <c r="O71" s="242">
        <v>1254.3787421952259</v>
      </c>
    </row>
    <row r="72" spans="1:15" x14ac:dyDescent="0.2">
      <c r="A72" s="236"/>
      <c r="B72" s="108" t="s">
        <v>50</v>
      </c>
      <c r="C72" s="109">
        <v>159.22688761322243</v>
      </c>
      <c r="D72" s="97">
        <v>177.74164198685295</v>
      </c>
      <c r="E72" s="97">
        <v>129.60328061541361</v>
      </c>
      <c r="F72" s="97">
        <v>107.38557536705699</v>
      </c>
      <c r="G72" s="97">
        <v>125.90032974068751</v>
      </c>
      <c r="H72" s="97">
        <v>166.63278936267463</v>
      </c>
      <c r="I72" s="97">
        <v>177.74164198685295</v>
      </c>
      <c r="J72" s="97">
        <v>170.33574023740073</v>
      </c>
      <c r="K72" s="97">
        <v>170.33574023740073</v>
      </c>
      <c r="L72" s="97">
        <v>151.82098586377023</v>
      </c>
      <c r="M72" s="97">
        <v>148.11803498904413</v>
      </c>
      <c r="N72" s="97">
        <v>144.41508411431801</v>
      </c>
      <c r="O72" s="110">
        <v>1829.2577321146948</v>
      </c>
    </row>
    <row r="73" spans="1:15" x14ac:dyDescent="0.2">
      <c r="A73" s="236"/>
      <c r="B73" s="108" t="s">
        <v>90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">
      <c r="A74" s="236"/>
      <c r="B74" s="108" t="s">
        <v>92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">
      <c r="A75" s="98" t="s">
        <v>55</v>
      </c>
      <c r="B75" s="98" t="s">
        <v>71</v>
      </c>
      <c r="C75" s="105">
        <v>641.02774124219866</v>
      </c>
      <c r="D75" s="106">
        <v>819.77586139627329</v>
      </c>
      <c r="E75" s="106">
        <v>536.24436046222388</v>
      </c>
      <c r="F75" s="106">
        <v>474.60707765047403</v>
      </c>
      <c r="G75" s="106">
        <v>641.02774124219866</v>
      </c>
      <c r="H75" s="106">
        <v>887.57687248919819</v>
      </c>
      <c r="I75" s="106">
        <v>992.36025326917297</v>
      </c>
      <c r="J75" s="106">
        <v>1004.6877098315229</v>
      </c>
      <c r="K75" s="106">
        <v>943.050427019773</v>
      </c>
      <c r="L75" s="106">
        <v>721.15620889747345</v>
      </c>
      <c r="M75" s="106">
        <v>560.89927358692387</v>
      </c>
      <c r="N75" s="106">
        <v>579.3904584304488</v>
      </c>
      <c r="O75" s="107">
        <v>8801.8039855178813</v>
      </c>
    </row>
    <row r="76" spans="1:15" x14ac:dyDescent="0.2">
      <c r="A76" s="236"/>
      <c r="B76" s="108" t="s">
        <v>25</v>
      </c>
      <c r="C76" s="109">
        <v>255.92085027068396</v>
      </c>
      <c r="D76" s="97">
        <v>327.28339505770157</v>
      </c>
      <c r="E76" s="97">
        <v>214.08763436105289</v>
      </c>
      <c r="F76" s="97">
        <v>189.47986029656408</v>
      </c>
      <c r="G76" s="97">
        <v>255.92085027068396</v>
      </c>
      <c r="H76" s="97">
        <v>354.35194652863936</v>
      </c>
      <c r="I76" s="97">
        <v>396.18516243827037</v>
      </c>
      <c r="J76" s="97">
        <v>401.10671725116811</v>
      </c>
      <c r="K76" s="97">
        <v>376.49894318667918</v>
      </c>
      <c r="L76" s="97">
        <v>287.91095655451937</v>
      </c>
      <c r="M76" s="97">
        <v>223.93074398684848</v>
      </c>
      <c r="N76" s="97">
        <v>231.31307620619509</v>
      </c>
      <c r="O76" s="110">
        <v>3513.9901364090065</v>
      </c>
    </row>
    <row r="77" spans="1:15" x14ac:dyDescent="0.2">
      <c r="A77" s="236"/>
      <c r="B77" s="108" t="s">
        <v>26</v>
      </c>
      <c r="C77" s="109">
        <v>8.1588849283109415</v>
      </c>
      <c r="D77" s="97">
        <v>10.433958610243799</v>
      </c>
      <c r="E77" s="97">
        <v>6.8252210457985765</v>
      </c>
      <c r="F77" s="97">
        <v>6.0407128796148317</v>
      </c>
      <c r="G77" s="97">
        <v>8.1588849283109415</v>
      </c>
      <c r="H77" s="97">
        <v>11.296917593045919</v>
      </c>
      <c r="I77" s="97">
        <v>12.630581475558284</v>
      </c>
      <c r="J77" s="97">
        <v>12.787483108795032</v>
      </c>
      <c r="K77" s="97">
        <v>12.002974942611289</v>
      </c>
      <c r="L77" s="97">
        <v>9.1787455443498089</v>
      </c>
      <c r="M77" s="97">
        <v>7.139024312272074</v>
      </c>
      <c r="N77" s="97">
        <v>7.3743767621271967</v>
      </c>
      <c r="O77" s="110">
        <v>112.02776613103869</v>
      </c>
    </row>
    <row r="78" spans="1:15" x14ac:dyDescent="0.2">
      <c r="A78" s="236"/>
      <c r="B78" s="108" t="s">
        <v>27</v>
      </c>
      <c r="C78" s="109">
        <v>264.07973519899491</v>
      </c>
      <c r="D78" s="97">
        <v>337.71735366794536</v>
      </c>
      <c r="E78" s="97">
        <v>220.91285540685146</v>
      </c>
      <c r="F78" s="97">
        <v>195.52057317617891</v>
      </c>
      <c r="G78" s="97">
        <v>264.07973519899491</v>
      </c>
      <c r="H78" s="97">
        <v>365.64886412168528</v>
      </c>
      <c r="I78" s="97">
        <v>408.81574391382867</v>
      </c>
      <c r="J78" s="97">
        <v>413.89420035996312</v>
      </c>
      <c r="K78" s="97">
        <v>388.50191812929046</v>
      </c>
      <c r="L78" s="97">
        <v>297.08970209886917</v>
      </c>
      <c r="M78" s="97">
        <v>231.06976829912057</v>
      </c>
      <c r="N78" s="97">
        <v>238.68745296832228</v>
      </c>
      <c r="O78" s="110">
        <v>3626.0179025400448</v>
      </c>
    </row>
    <row r="79" spans="1:15" x14ac:dyDescent="0.2">
      <c r="A79" s="236"/>
      <c r="B79" s="108" t="s">
        <v>50</v>
      </c>
      <c r="C79" s="109">
        <v>385.1068909715147</v>
      </c>
      <c r="D79" s="97">
        <v>492.49246633857172</v>
      </c>
      <c r="E79" s="97">
        <v>322.15672610117099</v>
      </c>
      <c r="F79" s="97">
        <v>285.12721735390994</v>
      </c>
      <c r="G79" s="97">
        <v>385.1068909715147</v>
      </c>
      <c r="H79" s="97">
        <v>533.22492596055883</v>
      </c>
      <c r="I79" s="97">
        <v>596.1750908309026</v>
      </c>
      <c r="J79" s="97">
        <v>603.58099258035475</v>
      </c>
      <c r="K79" s="97">
        <v>566.55148383309381</v>
      </c>
      <c r="L79" s="97">
        <v>433.24525234295407</v>
      </c>
      <c r="M79" s="97">
        <v>336.96852960007539</v>
      </c>
      <c r="N79" s="97">
        <v>348.07738222425371</v>
      </c>
      <c r="O79" s="110">
        <v>5287.8138491088748</v>
      </c>
    </row>
    <row r="80" spans="1:15" x14ac:dyDescent="0.2">
      <c r="A80" s="236"/>
      <c r="B80" s="108" t="s">
        <v>90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">
      <c r="A81" s="236"/>
      <c r="B81" s="108" t="s">
        <v>92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">
      <c r="A82" s="98" t="s">
        <v>56</v>
      </c>
      <c r="B82" s="98" t="s">
        <v>71</v>
      </c>
      <c r="C82" s="105">
        <v>67.801011092924853</v>
      </c>
      <c r="D82" s="106">
        <v>49.309826249399897</v>
      </c>
      <c r="E82" s="106">
        <v>43.146097968224908</v>
      </c>
      <c r="F82" s="106">
        <v>73.96473937409985</v>
      </c>
      <c r="G82" s="106">
        <v>67.801011092924853</v>
      </c>
      <c r="H82" s="106">
        <v>80.128467655274832</v>
      </c>
      <c r="I82" s="106">
        <v>80.128467655274832</v>
      </c>
      <c r="J82" s="106">
        <v>73.96473937409985</v>
      </c>
      <c r="K82" s="106">
        <v>80.128467655274832</v>
      </c>
      <c r="L82" s="106">
        <v>49.309826249399897</v>
      </c>
      <c r="M82" s="106">
        <v>49.309826249399897</v>
      </c>
      <c r="N82" s="106">
        <v>67.801011092924853</v>
      </c>
      <c r="O82" s="107">
        <v>782.79349170922319</v>
      </c>
    </row>
    <row r="83" spans="1:15" x14ac:dyDescent="0.2">
      <c r="A83" s="236"/>
      <c r="B83" s="108" t="s">
        <v>25</v>
      </c>
      <c r="C83" s="109">
        <v>27.06855147093772</v>
      </c>
      <c r="D83" s="97">
        <v>19.686219251591073</v>
      </c>
      <c r="E83" s="97">
        <v>17.225441845142186</v>
      </c>
      <c r="F83" s="97">
        <v>29.529328877386611</v>
      </c>
      <c r="G83" s="97">
        <v>27.06855147093772</v>
      </c>
      <c r="H83" s="97">
        <v>31.990106283835495</v>
      </c>
      <c r="I83" s="97">
        <v>31.990106283835495</v>
      </c>
      <c r="J83" s="97">
        <v>29.529328877386611</v>
      </c>
      <c r="K83" s="97">
        <v>31.990106283835495</v>
      </c>
      <c r="L83" s="97">
        <v>19.686219251591073</v>
      </c>
      <c r="M83" s="97">
        <v>19.686219251591073</v>
      </c>
      <c r="N83" s="97">
        <v>27.06855147093772</v>
      </c>
      <c r="O83" s="110">
        <v>312.51873061900829</v>
      </c>
    </row>
    <row r="84" spans="1:15" x14ac:dyDescent="0.2">
      <c r="A84" s="236"/>
      <c r="B84" s="108" t="s">
        <v>26</v>
      </c>
      <c r="C84" s="109">
        <v>0.8629589828021188</v>
      </c>
      <c r="D84" s="97">
        <v>0.62760653294699542</v>
      </c>
      <c r="E84" s="97">
        <v>0.54915571632862104</v>
      </c>
      <c r="F84" s="97">
        <v>0.94140979942049319</v>
      </c>
      <c r="G84" s="97">
        <v>0.8629589828021188</v>
      </c>
      <c r="H84" s="97">
        <v>1.0198606160388677</v>
      </c>
      <c r="I84" s="97">
        <v>1.0198606160388677</v>
      </c>
      <c r="J84" s="97">
        <v>0.94140979942049319</v>
      </c>
      <c r="K84" s="97">
        <v>1.0198606160388677</v>
      </c>
      <c r="L84" s="97">
        <v>0.62760653294699542</v>
      </c>
      <c r="M84" s="97">
        <v>0.62760653294699542</v>
      </c>
      <c r="N84" s="97">
        <v>0.8629589828021188</v>
      </c>
      <c r="O84" s="110">
        <v>9.9632537105335537</v>
      </c>
    </row>
    <row r="85" spans="1:15" x14ac:dyDescent="0.2">
      <c r="A85" s="236"/>
      <c r="B85" s="108" t="s">
        <v>27</v>
      </c>
      <c r="C85" s="109">
        <v>27.93151045373984</v>
      </c>
      <c r="D85" s="97">
        <v>20.313825784538068</v>
      </c>
      <c r="E85" s="97">
        <v>17.774597561470806</v>
      </c>
      <c r="F85" s="97">
        <v>30.470738676807105</v>
      </c>
      <c r="G85" s="97">
        <v>27.93151045373984</v>
      </c>
      <c r="H85" s="97">
        <v>33.009966899874364</v>
      </c>
      <c r="I85" s="97">
        <v>33.009966899874364</v>
      </c>
      <c r="J85" s="97">
        <v>30.470738676807105</v>
      </c>
      <c r="K85" s="97">
        <v>33.009966899874364</v>
      </c>
      <c r="L85" s="97">
        <v>20.313825784538068</v>
      </c>
      <c r="M85" s="97">
        <v>20.313825784538068</v>
      </c>
      <c r="N85" s="97">
        <v>27.93151045373984</v>
      </c>
      <c r="O85" s="110">
        <v>322.48198432954189</v>
      </c>
    </row>
    <row r="86" spans="1:15" x14ac:dyDescent="0.2">
      <c r="A86" s="236"/>
      <c r="B86" s="108" t="s">
        <v>50</v>
      </c>
      <c r="C86" s="109">
        <v>40.732459621987132</v>
      </c>
      <c r="D86" s="97">
        <v>29.623606997808825</v>
      </c>
      <c r="E86" s="97">
        <v>25.920656123082722</v>
      </c>
      <c r="F86" s="97">
        <v>44.435410496713239</v>
      </c>
      <c r="G86" s="97">
        <v>40.732459621987132</v>
      </c>
      <c r="H86" s="97">
        <v>48.138361371439338</v>
      </c>
      <c r="I86" s="97">
        <v>48.138361371439338</v>
      </c>
      <c r="J86" s="97">
        <v>44.435410496713239</v>
      </c>
      <c r="K86" s="97">
        <v>48.138361371439338</v>
      </c>
      <c r="L86" s="97">
        <v>29.623606997808825</v>
      </c>
      <c r="M86" s="97">
        <v>29.623606997808825</v>
      </c>
      <c r="N86" s="97">
        <v>40.732459621987132</v>
      </c>
      <c r="O86" s="110">
        <v>470.27476109021512</v>
      </c>
    </row>
    <row r="87" spans="1:15" x14ac:dyDescent="0.2">
      <c r="A87" s="236"/>
      <c r="B87" s="108" t="s">
        <v>90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">
      <c r="A88" s="236"/>
      <c r="B88" s="108" t="s">
        <v>92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">
      <c r="A89" s="98" t="s">
        <v>57</v>
      </c>
      <c r="B89" s="98" t="s">
        <v>71</v>
      </c>
      <c r="C89" s="105">
        <v>123.27456562349974</v>
      </c>
      <c r="D89" s="106">
        <v>141.7657504670247</v>
      </c>
      <c r="E89" s="106">
        <v>98.619652498799795</v>
      </c>
      <c r="F89" s="106">
        <v>123.27456562349974</v>
      </c>
      <c r="G89" s="106">
        <v>166.42066359172466</v>
      </c>
      <c r="H89" s="106">
        <v>197.23930499759959</v>
      </c>
      <c r="I89" s="106">
        <v>228.05794640347452</v>
      </c>
      <c r="J89" s="106">
        <v>203.40303327877459</v>
      </c>
      <c r="K89" s="106">
        <v>228.05794640347452</v>
      </c>
      <c r="L89" s="106">
        <v>166.42066359172466</v>
      </c>
      <c r="M89" s="106">
        <v>98.619652498799795</v>
      </c>
      <c r="N89" s="106">
        <v>117.11083734232476</v>
      </c>
      <c r="O89" s="107">
        <v>1892.2645823207208</v>
      </c>
    </row>
    <row r="90" spans="1:15" x14ac:dyDescent="0.2">
      <c r="A90" s="236"/>
      <c r="B90" s="108" t="s">
        <v>25</v>
      </c>
      <c r="C90" s="109">
        <v>49.215548128977673</v>
      </c>
      <c r="D90" s="97">
        <v>56.597880348324338</v>
      </c>
      <c r="E90" s="97">
        <v>39.372438503182146</v>
      </c>
      <c r="F90" s="97">
        <v>49.215548128977673</v>
      </c>
      <c r="G90" s="97">
        <v>66.440989974119873</v>
      </c>
      <c r="H90" s="97">
        <v>78.744877006364291</v>
      </c>
      <c r="I90" s="97">
        <v>91.048764038608709</v>
      </c>
      <c r="J90" s="97">
        <v>81.205654412813189</v>
      </c>
      <c r="K90" s="97">
        <v>91.048764038608709</v>
      </c>
      <c r="L90" s="97">
        <v>66.440989974119873</v>
      </c>
      <c r="M90" s="97">
        <v>39.372438503182146</v>
      </c>
      <c r="N90" s="97">
        <v>46.754770722528804</v>
      </c>
      <c r="O90" s="110">
        <v>755.45866377980724</v>
      </c>
    </row>
    <row r="91" spans="1:15" x14ac:dyDescent="0.2">
      <c r="A91" s="236"/>
      <c r="B91" s="108" t="s">
        <v>26</v>
      </c>
      <c r="C91" s="109">
        <v>1.5690163323674886</v>
      </c>
      <c r="D91" s="97">
        <v>1.804368782222612</v>
      </c>
      <c r="E91" s="97">
        <v>1.2552130658939908</v>
      </c>
      <c r="F91" s="97">
        <v>1.5690163323674886</v>
      </c>
      <c r="G91" s="97">
        <v>2.1181720486961098</v>
      </c>
      <c r="H91" s="97">
        <v>2.5104261317879817</v>
      </c>
      <c r="I91" s="97">
        <v>2.9026802148798541</v>
      </c>
      <c r="J91" s="97">
        <v>2.5888769484063561</v>
      </c>
      <c r="K91" s="97">
        <v>2.9026802148798541</v>
      </c>
      <c r="L91" s="97">
        <v>2.1181720486961098</v>
      </c>
      <c r="M91" s="97">
        <v>1.2552130658939908</v>
      </c>
      <c r="N91" s="97">
        <v>1.4905655157491142</v>
      </c>
      <c r="O91" s="110">
        <v>24.084400701840952</v>
      </c>
    </row>
    <row r="92" spans="1:15" x14ac:dyDescent="0.2">
      <c r="A92" s="236"/>
      <c r="B92" s="108" t="s">
        <v>27</v>
      </c>
      <c r="C92" s="109">
        <v>50.784564461345163</v>
      </c>
      <c r="D92" s="97">
        <v>58.402249130546949</v>
      </c>
      <c r="E92" s="97">
        <v>40.627651569076136</v>
      </c>
      <c r="F92" s="97">
        <v>50.784564461345163</v>
      </c>
      <c r="G92" s="97">
        <v>68.559162022815983</v>
      </c>
      <c r="H92" s="97">
        <v>81.255303138152271</v>
      </c>
      <c r="I92" s="97">
        <v>93.95144425348856</v>
      </c>
      <c r="J92" s="97">
        <v>83.794531361219541</v>
      </c>
      <c r="K92" s="97">
        <v>93.95144425348856</v>
      </c>
      <c r="L92" s="97">
        <v>68.559162022815983</v>
      </c>
      <c r="M92" s="97">
        <v>40.627651569076136</v>
      </c>
      <c r="N92" s="97">
        <v>48.245336238277915</v>
      </c>
      <c r="O92" s="110">
        <v>779.54306448164823</v>
      </c>
    </row>
    <row r="93" spans="1:15" x14ac:dyDescent="0.2">
      <c r="A93" s="236"/>
      <c r="B93" s="108" t="s">
        <v>50</v>
      </c>
      <c r="C93" s="109">
        <v>74.059017494522067</v>
      </c>
      <c r="D93" s="97">
        <v>85.167870118700364</v>
      </c>
      <c r="E93" s="97">
        <v>59.247213995617649</v>
      </c>
      <c r="F93" s="97">
        <v>74.059017494522067</v>
      </c>
      <c r="G93" s="97">
        <v>99.979673617604789</v>
      </c>
      <c r="H93" s="97">
        <v>118.4944279912353</v>
      </c>
      <c r="I93" s="97">
        <v>137.00918236486581</v>
      </c>
      <c r="J93" s="97">
        <v>122.1973788659614</v>
      </c>
      <c r="K93" s="97">
        <v>137.00918236486581</v>
      </c>
      <c r="L93" s="97">
        <v>99.979673617604789</v>
      </c>
      <c r="M93" s="97">
        <v>59.247213995617649</v>
      </c>
      <c r="N93" s="97">
        <v>70.356066619795953</v>
      </c>
      <c r="O93" s="110">
        <v>1136.8059185409136</v>
      </c>
    </row>
    <row r="94" spans="1:15" x14ac:dyDescent="0.2">
      <c r="A94" s="236"/>
      <c r="B94" s="108" t="s">
        <v>90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">
      <c r="A95" s="236"/>
      <c r="B95" s="108" t="s">
        <v>92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">
      <c r="A96" s="98" t="s">
        <v>58</v>
      </c>
      <c r="B96" s="98" t="s">
        <v>71</v>
      </c>
      <c r="C96" s="105">
        <v>215.73048984112455</v>
      </c>
      <c r="D96" s="106">
        <v>203.40303327877459</v>
      </c>
      <c r="E96" s="106">
        <v>184.91184843524962</v>
      </c>
      <c r="F96" s="106">
        <v>197.23930499759959</v>
      </c>
      <c r="G96" s="106">
        <v>246.54913124699948</v>
      </c>
      <c r="H96" s="106">
        <v>283.5315009340494</v>
      </c>
      <c r="I96" s="106">
        <v>295.8589574963994</v>
      </c>
      <c r="J96" s="106">
        <v>308.18641405874934</v>
      </c>
      <c r="K96" s="106">
        <v>320.51387062109933</v>
      </c>
      <c r="L96" s="106">
        <v>246.54913124699948</v>
      </c>
      <c r="M96" s="106">
        <v>197.23930499759959</v>
      </c>
      <c r="N96" s="106">
        <v>215.73048984112455</v>
      </c>
      <c r="O96" s="107">
        <v>2915.4434769957684</v>
      </c>
    </row>
    <row r="97" spans="1:15" x14ac:dyDescent="0.2">
      <c r="A97" s="236"/>
      <c r="B97" s="108" t="s">
        <v>25</v>
      </c>
      <c r="C97" s="109">
        <v>86.127209225710942</v>
      </c>
      <c r="D97" s="97">
        <v>81.205654412813189</v>
      </c>
      <c r="E97" s="97">
        <v>73.823322193466538</v>
      </c>
      <c r="F97" s="97">
        <v>78.744877006364291</v>
      </c>
      <c r="G97" s="97">
        <v>98.431096257955346</v>
      </c>
      <c r="H97" s="97">
        <v>113.19576069664868</v>
      </c>
      <c r="I97" s="97">
        <v>118.11731550954644</v>
      </c>
      <c r="J97" s="97">
        <v>123.03887032244418</v>
      </c>
      <c r="K97" s="97">
        <v>127.96042513534198</v>
      </c>
      <c r="L97" s="97">
        <v>98.431096257955346</v>
      </c>
      <c r="M97" s="97">
        <v>78.744877006364291</v>
      </c>
      <c r="N97" s="97">
        <v>86.127209225710942</v>
      </c>
      <c r="O97" s="110">
        <v>1163.9477132503221</v>
      </c>
    </row>
    <row r="98" spans="1:15" x14ac:dyDescent="0.2">
      <c r="A98" s="236"/>
      <c r="B98" s="108" t="s">
        <v>26</v>
      </c>
      <c r="C98" s="109">
        <v>2.7457785816431053</v>
      </c>
      <c r="D98" s="97">
        <v>2.5888769484063561</v>
      </c>
      <c r="E98" s="97">
        <v>2.3535244985512329</v>
      </c>
      <c r="F98" s="97">
        <v>2.5104261317879817</v>
      </c>
      <c r="G98" s="97">
        <v>3.1380326647349772</v>
      </c>
      <c r="H98" s="97">
        <v>3.608737564445224</v>
      </c>
      <c r="I98" s="97">
        <v>3.7656391976819727</v>
      </c>
      <c r="J98" s="97">
        <v>3.922540830918722</v>
      </c>
      <c r="K98" s="97">
        <v>4.0794424641554707</v>
      </c>
      <c r="L98" s="97">
        <v>3.1380326647349772</v>
      </c>
      <c r="M98" s="97">
        <v>2.5104261317879817</v>
      </c>
      <c r="N98" s="97">
        <v>2.7457785816431053</v>
      </c>
      <c r="O98" s="110">
        <v>37.107236260491113</v>
      </c>
    </row>
    <row r="99" spans="1:15" x14ac:dyDescent="0.2">
      <c r="A99" s="236"/>
      <c r="B99" s="108" t="s">
        <v>27</v>
      </c>
      <c r="C99" s="109">
        <v>88.87298780735405</v>
      </c>
      <c r="D99" s="97">
        <v>83.794531361219541</v>
      </c>
      <c r="E99" s="97">
        <v>76.176846692017776</v>
      </c>
      <c r="F99" s="97">
        <v>81.255303138152271</v>
      </c>
      <c r="G99" s="97">
        <v>101.56912892269033</v>
      </c>
      <c r="H99" s="97">
        <v>116.8044982610939</v>
      </c>
      <c r="I99" s="97">
        <v>121.88295470722842</v>
      </c>
      <c r="J99" s="97">
        <v>126.9614111533629</v>
      </c>
      <c r="K99" s="97">
        <v>132.03986759949746</v>
      </c>
      <c r="L99" s="97">
        <v>101.56912892269033</v>
      </c>
      <c r="M99" s="97">
        <v>81.255303138152271</v>
      </c>
      <c r="N99" s="97">
        <v>88.87298780735405</v>
      </c>
      <c r="O99" s="110">
        <v>1201.0549495108135</v>
      </c>
    </row>
    <row r="100" spans="1:15" x14ac:dyDescent="0.2">
      <c r="A100" s="236"/>
      <c r="B100" s="108" t="s">
        <v>50</v>
      </c>
      <c r="C100" s="109">
        <v>129.60328061541361</v>
      </c>
      <c r="D100" s="97">
        <v>122.1973788659614</v>
      </c>
      <c r="E100" s="97">
        <v>111.08852624178309</v>
      </c>
      <c r="F100" s="97">
        <v>118.4944279912353</v>
      </c>
      <c r="G100" s="97">
        <v>148.11803498904413</v>
      </c>
      <c r="H100" s="97">
        <v>170.33574023740073</v>
      </c>
      <c r="I100" s="97">
        <v>177.74164198685295</v>
      </c>
      <c r="J100" s="97">
        <v>185.14754373630515</v>
      </c>
      <c r="K100" s="97">
        <v>192.55344548575735</v>
      </c>
      <c r="L100" s="97">
        <v>148.11803498904413</v>
      </c>
      <c r="M100" s="97">
        <v>118.4944279912353</v>
      </c>
      <c r="N100" s="97">
        <v>129.60328061541361</v>
      </c>
      <c r="O100" s="110">
        <v>1751.4957637454468</v>
      </c>
    </row>
    <row r="101" spans="1:15" x14ac:dyDescent="0.2">
      <c r="A101" s="236"/>
      <c r="B101" s="108" t="s">
        <v>90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">
      <c r="A102" s="236"/>
      <c r="B102" s="108" t="s">
        <v>92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">
      <c r="A103" s="98" t="s">
        <v>82</v>
      </c>
      <c r="B103" s="98" t="s">
        <v>71</v>
      </c>
      <c r="C103" s="105">
        <v>899.90432905154807</v>
      </c>
      <c r="D103" s="106">
        <v>1306.7103956090973</v>
      </c>
      <c r="E103" s="106">
        <v>770.46603514687342</v>
      </c>
      <c r="F103" s="106">
        <v>567.06300186809881</v>
      </c>
      <c r="G103" s="106">
        <v>628.70028467984866</v>
      </c>
      <c r="H103" s="106">
        <v>764.30230686569837</v>
      </c>
      <c r="I103" s="106">
        <v>850.59450280214821</v>
      </c>
      <c r="J103" s="106">
        <v>862.92195936449821</v>
      </c>
      <c r="K103" s="106">
        <v>862.92195936449821</v>
      </c>
      <c r="L103" s="106">
        <v>653.35519780454865</v>
      </c>
      <c r="M103" s="106">
        <v>659.51892608572359</v>
      </c>
      <c r="N103" s="106">
        <v>678.01011092924864</v>
      </c>
      <c r="O103" s="107">
        <v>9504.4690095718306</v>
      </c>
    </row>
    <row r="104" spans="1:15" x14ac:dyDescent="0.2">
      <c r="A104" s="236"/>
      <c r="B104" s="108" t="s">
        <v>25</v>
      </c>
      <c r="C104" s="109">
        <v>359.27350134153698</v>
      </c>
      <c r="D104" s="97">
        <v>521.6848101671635</v>
      </c>
      <c r="E104" s="97">
        <v>307.59717580611056</v>
      </c>
      <c r="F104" s="97">
        <v>226.39152139329735</v>
      </c>
      <c r="G104" s="97">
        <v>250.99929545778616</v>
      </c>
      <c r="H104" s="97">
        <v>305.13639839966157</v>
      </c>
      <c r="I104" s="97">
        <v>339.58728208994597</v>
      </c>
      <c r="J104" s="97">
        <v>344.50883690284377</v>
      </c>
      <c r="K104" s="97">
        <v>344.50883690284377</v>
      </c>
      <c r="L104" s="97">
        <v>260.84240508358175</v>
      </c>
      <c r="M104" s="97">
        <v>263.30318249003057</v>
      </c>
      <c r="N104" s="97">
        <v>270.68551470937729</v>
      </c>
      <c r="O104" s="110">
        <v>3794.518760744179</v>
      </c>
    </row>
    <row r="105" spans="1:15" x14ac:dyDescent="0.2">
      <c r="A105" s="236"/>
      <c r="B105" s="108" t="s">
        <v>26</v>
      </c>
      <c r="C105" s="109">
        <v>11.453819226282668</v>
      </c>
      <c r="D105" s="97">
        <v>16.631573123095382</v>
      </c>
      <c r="E105" s="97">
        <v>9.806352077296804</v>
      </c>
      <c r="F105" s="97">
        <v>7.217475128890448</v>
      </c>
      <c r="G105" s="97">
        <v>8.0019832950741936</v>
      </c>
      <c r="H105" s="97">
        <v>9.7279012606784292</v>
      </c>
      <c r="I105" s="97">
        <v>10.826212693335673</v>
      </c>
      <c r="J105" s="97">
        <v>10.983114326572421</v>
      </c>
      <c r="K105" s="97">
        <v>10.983114326572421</v>
      </c>
      <c r="L105" s="97">
        <v>8.3157865615476911</v>
      </c>
      <c r="M105" s="97">
        <v>8.3942373781660642</v>
      </c>
      <c r="N105" s="97">
        <v>8.6295898280211887</v>
      </c>
      <c r="O105" s="110">
        <v>120.9711592255334</v>
      </c>
    </row>
    <row r="106" spans="1:15" x14ac:dyDescent="0.2">
      <c r="A106" s="236"/>
      <c r="B106" s="108" t="s">
        <v>27</v>
      </c>
      <c r="C106" s="109">
        <v>370.72732056781967</v>
      </c>
      <c r="D106" s="97">
        <v>538.31638329025884</v>
      </c>
      <c r="E106" s="97">
        <v>317.40352788340738</v>
      </c>
      <c r="F106" s="97">
        <v>233.60899652218779</v>
      </c>
      <c r="G106" s="97">
        <v>259.00127875286034</v>
      </c>
      <c r="H106" s="97">
        <v>314.86429966034001</v>
      </c>
      <c r="I106" s="97">
        <v>350.41349478328164</v>
      </c>
      <c r="J106" s="97">
        <v>355.4919512294162</v>
      </c>
      <c r="K106" s="97">
        <v>355.4919512294162</v>
      </c>
      <c r="L106" s="97">
        <v>269.15819164512942</v>
      </c>
      <c r="M106" s="97">
        <v>271.69741986819662</v>
      </c>
      <c r="N106" s="97">
        <v>279.3151045373985</v>
      </c>
      <c r="O106" s="110">
        <v>3915.4899199697129</v>
      </c>
    </row>
    <row r="107" spans="1:15" x14ac:dyDescent="0.2">
      <c r="A107" s="236"/>
      <c r="B107" s="108" t="s">
        <v>50</v>
      </c>
      <c r="C107" s="109">
        <v>540.63082771001109</v>
      </c>
      <c r="D107" s="97">
        <v>785.0255854419338</v>
      </c>
      <c r="E107" s="97">
        <v>462.86885934076287</v>
      </c>
      <c r="F107" s="97">
        <v>340.67148047480146</v>
      </c>
      <c r="G107" s="97">
        <v>377.7009892220625</v>
      </c>
      <c r="H107" s="97">
        <v>459.1659084660368</v>
      </c>
      <c r="I107" s="97">
        <v>511.00722071220224</v>
      </c>
      <c r="J107" s="97">
        <v>518.41312246165444</v>
      </c>
      <c r="K107" s="97">
        <v>518.41312246165444</v>
      </c>
      <c r="L107" s="97">
        <v>392.5127927209669</v>
      </c>
      <c r="M107" s="97">
        <v>396.21574359569303</v>
      </c>
      <c r="N107" s="97">
        <v>407.32459621987135</v>
      </c>
      <c r="O107" s="110">
        <v>5709.9502488276521</v>
      </c>
    </row>
    <row r="108" spans="1:15" x14ac:dyDescent="0.2">
      <c r="A108" s="236"/>
      <c r="B108" s="108" t="s">
        <v>90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">
      <c r="A109" s="236"/>
      <c r="B109" s="108" t="s">
        <v>92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">
      <c r="A110" s="98" t="s">
        <v>86</v>
      </c>
      <c r="B110" s="98" t="s">
        <v>71</v>
      </c>
      <c r="C110" s="105">
        <v>234.22167468464951</v>
      </c>
      <c r="D110" s="106">
        <v>369.82369687049925</v>
      </c>
      <c r="E110" s="106">
        <v>191.07557671642459</v>
      </c>
      <c r="F110" s="106">
        <v>123.27456562349974</v>
      </c>
      <c r="G110" s="106">
        <v>172.58439187289963</v>
      </c>
      <c r="H110" s="106">
        <v>277.36777265287441</v>
      </c>
      <c r="I110" s="106">
        <v>326.67759890227433</v>
      </c>
      <c r="J110" s="106">
        <v>308.18641405874934</v>
      </c>
      <c r="K110" s="106">
        <v>302.0226857775744</v>
      </c>
      <c r="L110" s="106">
        <v>234.22167468464951</v>
      </c>
      <c r="M110" s="106">
        <v>197.23930499759959</v>
      </c>
      <c r="N110" s="106">
        <v>191.07557671642459</v>
      </c>
      <c r="O110" s="107">
        <v>2927.7709335581185</v>
      </c>
    </row>
    <row r="111" spans="1:15" x14ac:dyDescent="0.2">
      <c r="A111" s="236"/>
      <c r="B111" s="108" t="s">
        <v>25</v>
      </c>
      <c r="C111" s="109">
        <v>93.509541445057607</v>
      </c>
      <c r="D111" s="97">
        <v>147.64664438693308</v>
      </c>
      <c r="E111" s="97">
        <v>76.284099599915393</v>
      </c>
      <c r="F111" s="97">
        <v>49.215548128977673</v>
      </c>
      <c r="G111" s="97">
        <v>68.901767380568742</v>
      </c>
      <c r="H111" s="97">
        <v>110.73498329019978</v>
      </c>
      <c r="I111" s="97">
        <v>130.42120254179088</v>
      </c>
      <c r="J111" s="97">
        <v>123.03887032244418</v>
      </c>
      <c r="K111" s="97">
        <v>120.57809291599534</v>
      </c>
      <c r="L111" s="97">
        <v>93.509541445057607</v>
      </c>
      <c r="M111" s="97">
        <v>78.744877006364291</v>
      </c>
      <c r="N111" s="97">
        <v>76.284099599915393</v>
      </c>
      <c r="O111" s="110">
        <v>1168.86926806322</v>
      </c>
    </row>
    <row r="112" spans="1:15" x14ac:dyDescent="0.2">
      <c r="A112" s="236"/>
      <c r="B112" s="108" t="s">
        <v>26</v>
      </c>
      <c r="C112" s="109">
        <v>2.9811310314982284</v>
      </c>
      <c r="D112" s="97">
        <v>4.7070489971024658</v>
      </c>
      <c r="E112" s="97">
        <v>2.4319753151696073</v>
      </c>
      <c r="F112" s="97">
        <v>1.5690163323674886</v>
      </c>
      <c r="G112" s="97">
        <v>2.1966228653144841</v>
      </c>
      <c r="H112" s="97">
        <v>3.5302867478268496</v>
      </c>
      <c r="I112" s="97">
        <v>4.1578932807738456</v>
      </c>
      <c r="J112" s="97">
        <v>3.922540830918722</v>
      </c>
      <c r="K112" s="97">
        <v>3.8440900143003476</v>
      </c>
      <c r="L112" s="97">
        <v>2.9811310314982284</v>
      </c>
      <c r="M112" s="97">
        <v>2.5104261317879817</v>
      </c>
      <c r="N112" s="97">
        <v>2.4319753151696073</v>
      </c>
      <c r="O112" s="110">
        <v>37.264137893727856</v>
      </c>
    </row>
    <row r="113" spans="1:15" x14ac:dyDescent="0.2">
      <c r="A113" s="236"/>
      <c r="B113" s="108" t="s">
        <v>27</v>
      </c>
      <c r="C113" s="109">
        <v>96.490672476555829</v>
      </c>
      <c r="D113" s="97">
        <v>152.35369338403555</v>
      </c>
      <c r="E113" s="97">
        <v>78.716074915085002</v>
      </c>
      <c r="F113" s="97">
        <v>50.784564461345163</v>
      </c>
      <c r="G113" s="97">
        <v>71.098390245883223</v>
      </c>
      <c r="H113" s="97">
        <v>114.26527003802663</v>
      </c>
      <c r="I113" s="97">
        <v>134.57909582256471</v>
      </c>
      <c r="J113" s="97">
        <v>126.9614111533629</v>
      </c>
      <c r="K113" s="97">
        <v>124.42218293029569</v>
      </c>
      <c r="L113" s="97">
        <v>96.490672476555829</v>
      </c>
      <c r="M113" s="97">
        <v>81.255303138152271</v>
      </c>
      <c r="N113" s="97">
        <v>78.716074915085002</v>
      </c>
      <c r="O113" s="110">
        <v>1206.1334059569479</v>
      </c>
    </row>
    <row r="114" spans="1:15" x14ac:dyDescent="0.2">
      <c r="A114" s="236"/>
      <c r="B114" s="108" t="s">
        <v>50</v>
      </c>
      <c r="C114" s="109">
        <v>140.71213323959191</v>
      </c>
      <c r="D114" s="97">
        <v>222.17705248356617</v>
      </c>
      <c r="E114" s="97">
        <v>114.7914771165092</v>
      </c>
      <c r="F114" s="97">
        <v>74.059017494522067</v>
      </c>
      <c r="G114" s="97">
        <v>103.68262449233089</v>
      </c>
      <c r="H114" s="97">
        <v>166.63278936267463</v>
      </c>
      <c r="I114" s="97">
        <v>196.25639636048345</v>
      </c>
      <c r="J114" s="97">
        <v>185.14754373630515</v>
      </c>
      <c r="K114" s="97">
        <v>181.44459286157905</v>
      </c>
      <c r="L114" s="97">
        <v>140.71213323959191</v>
      </c>
      <c r="M114" s="97">
        <v>118.4944279912353</v>
      </c>
      <c r="N114" s="97">
        <v>114.7914771165092</v>
      </c>
      <c r="O114" s="110">
        <v>1758.9016654948989</v>
      </c>
    </row>
    <row r="115" spans="1:15" x14ac:dyDescent="0.2">
      <c r="A115" s="236"/>
      <c r="B115" s="108" t="s">
        <v>90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">
      <c r="A116" s="236"/>
      <c r="B116" s="108" t="s">
        <v>92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">
      <c r="A117" s="98" t="s">
        <v>72</v>
      </c>
      <c r="B117" s="99"/>
      <c r="C117" s="105">
        <v>47220.32236208157</v>
      </c>
      <c r="D117" s="106">
        <v>57162.416079616843</v>
      </c>
      <c r="E117" s="106">
        <v>39971.777903419781</v>
      </c>
      <c r="F117" s="106">
        <v>37278.228644546318</v>
      </c>
      <c r="G117" s="106">
        <v>46881.317306616955</v>
      </c>
      <c r="H117" s="106">
        <v>59350.539619433963</v>
      </c>
      <c r="I117" s="106">
        <v>62333.784107522639</v>
      </c>
      <c r="J117" s="106">
        <v>62796.063728610767</v>
      </c>
      <c r="K117" s="106">
        <v>62580.333238769643</v>
      </c>
      <c r="L117" s="106">
        <v>48798.236802062376</v>
      </c>
      <c r="M117" s="106">
        <v>39854.667066077469</v>
      </c>
      <c r="N117" s="106">
        <v>41734.604191835839</v>
      </c>
      <c r="O117" s="107">
        <v>605962.2910505943</v>
      </c>
    </row>
    <row r="118" spans="1:15" x14ac:dyDescent="0.2">
      <c r="A118" s="98" t="s">
        <v>28</v>
      </c>
      <c r="B118" s="99"/>
      <c r="C118" s="243">
        <v>18852.015710804895</v>
      </c>
      <c r="D118" s="244">
        <v>22821.249667406952</v>
      </c>
      <c r="E118" s="244">
        <v>15958.141480821016</v>
      </c>
      <c r="F118" s="244">
        <v>14882.78175420285</v>
      </c>
      <c r="G118" s="244">
        <v>18716.672953450208</v>
      </c>
      <c r="H118" s="244">
        <v>23694.825646696307</v>
      </c>
      <c r="I118" s="244">
        <v>24885.841911417563</v>
      </c>
      <c r="J118" s="244">
        <v>25070.400216901238</v>
      </c>
      <c r="K118" s="244">
        <v>24984.273007675518</v>
      </c>
      <c r="L118" s="244">
        <v>19481.974726855817</v>
      </c>
      <c r="M118" s="244">
        <v>15911.386710098481</v>
      </c>
      <c r="N118" s="244">
        <v>16661.923819065396</v>
      </c>
      <c r="O118" s="245">
        <v>241921.48760539631</v>
      </c>
    </row>
    <row r="119" spans="1:15" x14ac:dyDescent="0.2">
      <c r="A119" s="98" t="s">
        <v>29</v>
      </c>
      <c r="B119" s="99"/>
      <c r="C119" s="243">
        <v>601.01170611336636</v>
      </c>
      <c r="D119" s="244">
        <v>727.55287331880436</v>
      </c>
      <c r="E119" s="244">
        <v>508.75354577015821</v>
      </c>
      <c r="F119" s="244">
        <v>474.47053890792853</v>
      </c>
      <c r="G119" s="244">
        <v>596.6969111993559</v>
      </c>
      <c r="H119" s="244">
        <v>755.40291321832751</v>
      </c>
      <c r="I119" s="244">
        <v>793.37310846162063</v>
      </c>
      <c r="J119" s="244">
        <v>799.25691970799869</v>
      </c>
      <c r="K119" s="244">
        <v>796.5111411263556</v>
      </c>
      <c r="L119" s="244">
        <v>621.09511516767043</v>
      </c>
      <c r="M119" s="244">
        <v>507.26298025440906</v>
      </c>
      <c r="N119" s="244">
        <v>531.19047932301305</v>
      </c>
      <c r="O119" s="245">
        <v>7712.5782325690088</v>
      </c>
    </row>
    <row r="120" spans="1:15" x14ac:dyDescent="0.2">
      <c r="A120" s="98" t="s">
        <v>30</v>
      </c>
      <c r="B120" s="99"/>
      <c r="C120" s="243">
        <v>19453.027416918263</v>
      </c>
      <c r="D120" s="244">
        <v>23548.802540725756</v>
      </c>
      <c r="E120" s="244">
        <v>16466.895026591177</v>
      </c>
      <c r="F120" s="244">
        <v>15357.252293110778</v>
      </c>
      <c r="G120" s="244">
        <v>19313.369864649561</v>
      </c>
      <c r="H120" s="244">
        <v>24450.228559914642</v>
      </c>
      <c r="I120" s="244">
        <v>25679.21501987919</v>
      </c>
      <c r="J120" s="244">
        <v>25869.657136609225</v>
      </c>
      <c r="K120" s="244">
        <v>25780.784148801875</v>
      </c>
      <c r="L120" s="244">
        <v>20103.069842023488</v>
      </c>
      <c r="M120" s="244">
        <v>16418.649690352893</v>
      </c>
      <c r="N120" s="244">
        <v>17193.114298388409</v>
      </c>
      <c r="O120" s="245">
        <v>249634.06583796526</v>
      </c>
    </row>
    <row r="121" spans="1:15" x14ac:dyDescent="0.2">
      <c r="A121" s="98" t="s">
        <v>62</v>
      </c>
      <c r="B121" s="99"/>
      <c r="C121" s="105">
        <v>28368.306651276675</v>
      </c>
      <c r="D121" s="106">
        <v>34341.166412209881</v>
      </c>
      <c r="E121" s="106">
        <v>24013.636422598778</v>
      </c>
      <c r="F121" s="106">
        <v>22395.446890343468</v>
      </c>
      <c r="G121" s="106">
        <v>28164.644353166739</v>
      </c>
      <c r="H121" s="106">
        <v>35655.713972737649</v>
      </c>
      <c r="I121" s="106">
        <v>37447.94219610509</v>
      </c>
      <c r="J121" s="106">
        <v>37725.663511709543</v>
      </c>
      <c r="K121" s="106">
        <v>37596.060231094139</v>
      </c>
      <c r="L121" s="106">
        <v>29316.262075206556</v>
      </c>
      <c r="M121" s="106">
        <v>23943.280355978983</v>
      </c>
      <c r="N121" s="106">
        <v>25072.680372770443</v>
      </c>
      <c r="O121" s="107">
        <v>364040.80344519793</v>
      </c>
    </row>
    <row r="122" spans="1:15" x14ac:dyDescent="0.2">
      <c r="A122" s="98" t="s">
        <v>91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">
      <c r="A123" s="111" t="s">
        <v>93</v>
      </c>
      <c r="B123" s="237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">
      <c r="L125" s="239"/>
      <c r="O125" s="239"/>
    </row>
    <row r="126" spans="1:15" x14ac:dyDescent="0.2">
      <c r="L126" s="97"/>
      <c r="O126" s="97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C30" sqref="C30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2" customWidth="1"/>
    <col min="5" max="5" width="24.28515625" style="1" customWidth="1"/>
    <col min="6" max="6" width="7.7109375" style="162" customWidth="1"/>
    <col min="7" max="7" width="6.7109375" style="162" customWidth="1"/>
    <col min="8" max="8" width="11.140625" style="162" bestFit="1" customWidth="1"/>
    <col min="9" max="9" width="11.28515625" style="163" customWidth="1"/>
    <col min="10" max="10" width="13.7109375" style="162" customWidth="1"/>
    <col min="11" max="11" width="13.5703125" style="164" customWidth="1"/>
    <col min="12" max="12" width="14.7109375" style="162" customWidth="1"/>
    <col min="13" max="13" width="13.42578125" style="125" bestFit="1" customWidth="1"/>
    <col min="14" max="17" width="13.42578125" style="125" customWidth="1"/>
    <col min="18" max="18" width="15.5703125" style="235" customWidth="1"/>
    <col min="19" max="16384" width="8.7109375" style="1"/>
  </cols>
  <sheetData>
    <row r="1" spans="2:18" ht="22.5" x14ac:dyDescent="0.2">
      <c r="B1" s="10" t="s">
        <v>100</v>
      </c>
      <c r="C1" s="115"/>
      <c r="D1" s="116"/>
      <c r="E1" s="115"/>
      <c r="F1" s="117" t="s">
        <v>12</v>
      </c>
      <c r="G1" s="118"/>
      <c r="H1" s="119"/>
      <c r="I1" s="120"/>
      <c r="J1" s="250" t="str">
        <f>"True-Up ARR
(CY"&amp;R1&amp;")"</f>
        <v>True-Up ARR
(CY2021)</v>
      </c>
      <c r="K1" s="251" t="str">
        <f>"Projected ARR
(Jan'"&amp;RIGHT(R$1,2)&amp;" - Dec'"&amp;RIGHT(R$1,2)&amp;")"</f>
        <v>Projected ARR
(Jan'21 - Dec'21)</v>
      </c>
      <c r="L1" s="121" t="s">
        <v>46</v>
      </c>
      <c r="M1" s="122"/>
      <c r="N1" s="52"/>
      <c r="O1" s="52"/>
      <c r="P1" s="52"/>
      <c r="Q1" s="52"/>
      <c r="R1" s="123">
        <v>2021</v>
      </c>
    </row>
    <row r="2" spans="2:18" x14ac:dyDescent="0.2">
      <c r="B2" s="10" t="s">
        <v>53</v>
      </c>
      <c r="C2" s="115"/>
      <c r="D2" s="116"/>
      <c r="E2" s="115"/>
      <c r="F2" s="124">
        <v>1</v>
      </c>
      <c r="G2" s="253"/>
      <c r="H2" s="253"/>
      <c r="I2" s="126" t="s">
        <v>6</v>
      </c>
      <c r="J2" s="127">
        <v>605993.10969200009</v>
      </c>
      <c r="K2" s="127">
        <v>363837.14114708803</v>
      </c>
      <c r="L2" s="128"/>
      <c r="M2" s="129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15"/>
      <c r="D3" s="116"/>
      <c r="E3" s="115"/>
      <c r="F3" s="124"/>
      <c r="G3" s="253"/>
      <c r="H3" s="253"/>
      <c r="I3" s="126" t="s">
        <v>10</v>
      </c>
      <c r="J3" s="130">
        <v>6.1637282811749872</v>
      </c>
      <c r="K3" s="130">
        <v>3.7029508747261031</v>
      </c>
      <c r="L3" s="131" t="str">
        <f>"Inv. Jan-Dec'"&amp;RIGHT(R1,2)</f>
        <v>Inv. Jan-Dec'21</v>
      </c>
      <c r="M3" s="129"/>
      <c r="N3" s="52"/>
      <c r="O3" s="52"/>
      <c r="P3" s="52"/>
      <c r="Q3" s="52"/>
      <c r="R3" s="1"/>
    </row>
    <row r="4" spans="2:18" x14ac:dyDescent="0.2">
      <c r="B4" s="9"/>
      <c r="C4" s="115"/>
      <c r="D4" s="116"/>
      <c r="E4" s="115"/>
      <c r="F4" s="124"/>
      <c r="G4" s="125"/>
      <c r="H4" s="125"/>
      <c r="I4" s="51"/>
      <c r="J4" s="125"/>
      <c r="K4" s="132"/>
      <c r="L4" s="125"/>
      <c r="M4" s="133"/>
      <c r="R4" s="1"/>
    </row>
    <row r="5" spans="2:18" x14ac:dyDescent="0.2">
      <c r="B5" s="9"/>
      <c r="C5" s="115"/>
      <c r="D5" s="116"/>
      <c r="E5" s="115"/>
      <c r="F5" s="124"/>
      <c r="G5" s="125"/>
      <c r="H5" s="125"/>
      <c r="I5" s="126"/>
      <c r="J5" s="125"/>
      <c r="K5" s="127">
        <v>0</v>
      </c>
      <c r="L5" s="128"/>
      <c r="M5" s="134"/>
      <c r="N5" s="135"/>
      <c r="O5" s="135"/>
      <c r="P5" s="135"/>
      <c r="Q5" s="135"/>
      <c r="R5" s="136"/>
    </row>
    <row r="6" spans="2:18" x14ac:dyDescent="0.2">
      <c r="B6" s="10" t="s">
        <v>23</v>
      </c>
      <c r="D6" s="116"/>
      <c r="E6" s="115"/>
      <c r="F6" s="137"/>
      <c r="G6" s="138"/>
      <c r="H6" s="139"/>
      <c r="I6" s="140"/>
      <c r="J6" s="141"/>
      <c r="K6" s="130">
        <v>0</v>
      </c>
      <c r="L6" s="238"/>
      <c r="M6" s="134"/>
      <c r="N6" s="135"/>
      <c r="O6" s="135"/>
      <c r="P6" s="135"/>
      <c r="Q6" s="135"/>
      <c r="R6" s="1"/>
    </row>
    <row r="7" spans="2:18" x14ac:dyDescent="0.2">
      <c r="B7" s="9" t="s">
        <v>78</v>
      </c>
      <c r="D7" s="116"/>
      <c r="E7" s="115"/>
      <c r="F7" s="124"/>
      <c r="G7" s="254"/>
      <c r="H7" s="253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x14ac:dyDescent="0.2">
      <c r="B8" s="10"/>
      <c r="C8" s="115"/>
      <c r="D8" s="116"/>
      <c r="E8" s="115"/>
      <c r="F8" s="124"/>
      <c r="G8" s="253"/>
      <c r="H8" s="253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x14ac:dyDescent="0.2">
      <c r="B9" s="147"/>
      <c r="C9" s="115"/>
      <c r="D9" s="116"/>
      <c r="E9" s="115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2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x14ac:dyDescent="0.2">
      <c r="B11" s="161" t="s">
        <v>83</v>
      </c>
      <c r="E11" s="152"/>
      <c r="L11" s="165"/>
      <c r="M11" s="1"/>
      <c r="N11" s="1"/>
      <c r="O11" s="1"/>
      <c r="P11" s="1"/>
      <c r="Q11" s="1"/>
      <c r="R11" s="136"/>
    </row>
    <row r="12" spans="2:18" x14ac:dyDescent="0.2">
      <c r="E12" s="152"/>
      <c r="L12" s="165"/>
      <c r="R12" s="166" t="s">
        <v>61</v>
      </c>
    </row>
    <row r="13" spans="2:18" x14ac:dyDescent="0.2">
      <c r="E13" s="152"/>
      <c r="F13" s="167"/>
      <c r="G13" s="168"/>
      <c r="H13" s="168"/>
      <c r="I13" s="169" t="s">
        <v>59</v>
      </c>
      <c r="J13" s="170">
        <f t="shared" ref="J13:R13" si="0">SUM(J56:J211)</f>
        <v>157686.66061729964</v>
      </c>
      <c r="K13" s="170">
        <f t="shared" si="0"/>
        <v>94732.592228117835</v>
      </c>
      <c r="L13" s="171">
        <f t="shared" si="0"/>
        <v>62954.068389181826</v>
      </c>
      <c r="M13" s="172">
        <f t="shared" si="0"/>
        <v>2007.0072415478735</v>
      </c>
      <c r="N13" s="170">
        <f t="shared" si="0"/>
        <v>64961.075630729749</v>
      </c>
      <c r="O13" s="170">
        <f>SUM(O56:O211)</f>
        <v>0</v>
      </c>
      <c r="P13" s="170">
        <f t="shared" si="0"/>
        <v>0</v>
      </c>
      <c r="Q13" s="170">
        <v>0</v>
      </c>
      <c r="R13" s="171">
        <f t="shared" si="0"/>
        <v>64961.075630729749</v>
      </c>
    </row>
    <row r="14" spans="2:18" x14ac:dyDescent="0.2">
      <c r="E14" s="152"/>
      <c r="F14" s="173"/>
      <c r="G14" s="173"/>
      <c r="H14" s="173"/>
      <c r="I14" s="174" t="s">
        <v>60</v>
      </c>
      <c r="J14" s="170">
        <f>SUM(J20:J211)</f>
        <v>605962.29105059407</v>
      </c>
      <c r="K14" s="170">
        <f>SUM(K20:K211)</f>
        <v>364040.80344519718</v>
      </c>
      <c r="L14" s="171">
        <f>SUM(L20:L211)</f>
        <v>241921.48760539619</v>
      </c>
      <c r="M14" s="246">
        <v>7712.5782325690088</v>
      </c>
      <c r="N14" s="170">
        <f>SUM(N20:N211)</f>
        <v>249634.06583796532</v>
      </c>
      <c r="O14" s="170">
        <f>SUM(O20:O211)</f>
        <v>0</v>
      </c>
      <c r="P14" s="170">
        <f>SUM(P20:P211)</f>
        <v>0</v>
      </c>
      <c r="Q14" s="170">
        <v>0</v>
      </c>
      <c r="R14" s="171">
        <f>SUM(R20:R211)</f>
        <v>249634.06583796532</v>
      </c>
    </row>
    <row r="15" spans="2:18" x14ac:dyDescent="0.2">
      <c r="B15" s="175" t="s">
        <v>85</v>
      </c>
      <c r="E15" s="152"/>
      <c r="J15" s="163"/>
      <c r="L15" s="165"/>
      <c r="M15" s="248"/>
      <c r="N15" s="176"/>
      <c r="O15" s="176"/>
      <c r="P15" s="176"/>
      <c r="Q15" s="176"/>
      <c r="R15" s="177" t="s">
        <v>20</v>
      </c>
    </row>
    <row r="16" spans="2:18" x14ac:dyDescent="0.2">
      <c r="B16" s="178" t="str">
        <f>"** Actual Trued-Up CY"&amp;R1&amp;" Charge reflects "&amp;R1&amp;" True-UP Rate x MW"</f>
        <v>** Actual Trued-Up CY2021 Charge reflects 2021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">
      <c r="B17" s="182" t="s">
        <v>63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" customHeight="1" x14ac:dyDescent="0.2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">
      <c r="B19" s="190" t="s">
        <v>54</v>
      </c>
      <c r="C19" s="247" t="s">
        <v>4</v>
      </c>
      <c r="D19" s="247" t="s">
        <v>5</v>
      </c>
      <c r="E19" s="191" t="s">
        <v>0</v>
      </c>
      <c r="F19" s="192" t="s">
        <v>12</v>
      </c>
      <c r="G19" s="249" t="s">
        <v>1</v>
      </c>
      <c r="H19" s="193" t="s">
        <v>49</v>
      </c>
      <c r="I19" s="193" t="s">
        <v>47</v>
      </c>
      <c r="J19" s="194" t="str">
        <f>"True-Up Charge"</f>
        <v>True-Up Charge</v>
      </c>
      <c r="K19" s="194" t="s">
        <v>48</v>
      </c>
      <c r="L19" s="195" t="s">
        <v>3</v>
      </c>
      <c r="M19" s="196" t="s">
        <v>7</v>
      </c>
      <c r="N19" s="197" t="s">
        <v>103</v>
      </c>
      <c r="O19" s="197" t="s">
        <v>87</v>
      </c>
      <c r="P19" s="197" t="s">
        <v>88</v>
      </c>
      <c r="Q19" s="197" t="s">
        <v>89</v>
      </c>
      <c r="R19" s="198" t="s">
        <v>2</v>
      </c>
    </row>
    <row r="20" spans="1:18" s="52" customFormat="1" ht="12.75" customHeight="1" x14ac:dyDescent="0.2">
      <c r="A20" s="125">
        <v>1</v>
      </c>
      <c r="B20" s="199">
        <f>DATE($R$1,A20,1)</f>
        <v>44197</v>
      </c>
      <c r="C20" s="200">
        <v>44230</v>
      </c>
      <c r="D20" s="200">
        <v>44251</v>
      </c>
      <c r="E20" s="201" t="s">
        <v>21</v>
      </c>
      <c r="F20" s="125">
        <v>9</v>
      </c>
      <c r="G20" s="202">
        <v>2536</v>
      </c>
      <c r="H20" s="203">
        <f>+$K$3</f>
        <v>3.7029508747261031</v>
      </c>
      <c r="I20" s="203">
        <f t="shared" ref="I20:I63" si="1">$J$3</f>
        <v>6.1637282811749872</v>
      </c>
      <c r="J20" s="204">
        <f t="shared" ref="J20:J108" si="2">+$G20*I20</f>
        <v>15631.214921059767</v>
      </c>
      <c r="K20" s="205">
        <f>+$G20*H20</f>
        <v>9390.6834183053979</v>
      </c>
      <c r="L20" s="206">
        <f t="shared" ref="L20:L34" si="3">+J20-K20</f>
        <v>6240.5315027543693</v>
      </c>
      <c r="M20" s="207">
        <f>G20/$G$212*$M$14</f>
        <v>198.95127094419755</v>
      </c>
      <c r="N20" s="208">
        <f>SUM(L20:M20)</f>
        <v>6439.4827736985671</v>
      </c>
      <c r="O20" s="207">
        <f>+$P$3</f>
        <v>0</v>
      </c>
      <c r="P20" s="207">
        <f>+G20*O20</f>
        <v>0</v>
      </c>
      <c r="Q20" s="207">
        <v>0</v>
      </c>
      <c r="R20" s="208">
        <f>+N20-Q20</f>
        <v>6439.4827736985671</v>
      </c>
    </row>
    <row r="21" spans="1:18" x14ac:dyDescent="0.2">
      <c r="A21" s="162">
        <v>2</v>
      </c>
      <c r="B21" s="199">
        <f t="shared" ref="B21:B108" si="4">DATE($R$1,A21,1)</f>
        <v>44228</v>
      </c>
      <c r="C21" s="200">
        <v>44258</v>
      </c>
      <c r="D21" s="200">
        <v>44279</v>
      </c>
      <c r="E21" s="209" t="s">
        <v>21</v>
      </c>
      <c r="F21" s="162">
        <v>9</v>
      </c>
      <c r="G21" s="202">
        <v>2976</v>
      </c>
      <c r="H21" s="203">
        <f t="shared" ref="H21:H84" si="5">+$K$3</f>
        <v>3.7029508747261031</v>
      </c>
      <c r="I21" s="203">
        <f t="shared" si="1"/>
        <v>6.1637282811749872</v>
      </c>
      <c r="J21" s="204">
        <f t="shared" si="2"/>
        <v>18343.255364776764</v>
      </c>
      <c r="K21" s="205">
        <f t="shared" ref="K21:K33" si="6">+$G21*H21</f>
        <v>11019.981803184883</v>
      </c>
      <c r="L21" s="206">
        <f t="shared" si="3"/>
        <v>7323.2735615918809</v>
      </c>
      <c r="M21" s="207">
        <f t="shared" ref="M21:M84" si="7">G21/$G$212*$M$14</f>
        <v>233.46963025628233</v>
      </c>
      <c r="N21" s="208">
        <f t="shared" ref="N21:N84" si="8">SUM(L21:M21)</f>
        <v>7556.7431918481634</v>
      </c>
      <c r="O21" s="207">
        <f t="shared" ref="O21:O84" si="9">+$P$3</f>
        <v>0</v>
      </c>
      <c r="P21" s="207">
        <f t="shared" ref="P21:P84" si="10">+G21*O21</f>
        <v>0</v>
      </c>
      <c r="Q21" s="207">
        <v>0</v>
      </c>
      <c r="R21" s="208">
        <f t="shared" ref="R21:R84" si="11">+N21-Q21</f>
        <v>7556.7431918481634</v>
      </c>
    </row>
    <row r="22" spans="1:18" x14ac:dyDescent="0.2">
      <c r="A22" s="162">
        <v>3</v>
      </c>
      <c r="B22" s="199">
        <f t="shared" si="4"/>
        <v>44256</v>
      </c>
      <c r="C22" s="200">
        <v>44291</v>
      </c>
      <c r="D22" s="200">
        <v>44312</v>
      </c>
      <c r="E22" s="209" t="s">
        <v>21</v>
      </c>
      <c r="F22" s="162">
        <v>9</v>
      </c>
      <c r="G22" s="202">
        <v>2203</v>
      </c>
      <c r="H22" s="203">
        <f t="shared" si="5"/>
        <v>3.7029508747261031</v>
      </c>
      <c r="I22" s="203">
        <f t="shared" si="1"/>
        <v>6.1637282811749872</v>
      </c>
      <c r="J22" s="204">
        <f t="shared" si="2"/>
        <v>13578.693403428497</v>
      </c>
      <c r="K22" s="205">
        <f t="shared" si="6"/>
        <v>8157.6007770216047</v>
      </c>
      <c r="L22" s="206">
        <f t="shared" si="3"/>
        <v>5421.0926264068921</v>
      </c>
      <c r="M22" s="207">
        <f t="shared" si="7"/>
        <v>172.82714901027887</v>
      </c>
      <c r="N22" s="208">
        <f t="shared" si="8"/>
        <v>5593.919775417171</v>
      </c>
      <c r="O22" s="207">
        <f t="shared" si="9"/>
        <v>0</v>
      </c>
      <c r="P22" s="207">
        <f t="shared" si="10"/>
        <v>0</v>
      </c>
      <c r="Q22" s="207">
        <v>0</v>
      </c>
      <c r="R22" s="208">
        <f t="shared" si="11"/>
        <v>5593.919775417171</v>
      </c>
    </row>
    <row r="23" spans="1:18" x14ac:dyDescent="0.2">
      <c r="A23" s="125">
        <v>4</v>
      </c>
      <c r="B23" s="199">
        <f t="shared" si="4"/>
        <v>44287</v>
      </c>
      <c r="C23" s="200">
        <v>44321</v>
      </c>
      <c r="D23" s="200">
        <v>44340</v>
      </c>
      <c r="E23" s="209" t="s">
        <v>21</v>
      </c>
      <c r="F23" s="162">
        <v>9</v>
      </c>
      <c r="G23" s="202">
        <v>2146</v>
      </c>
      <c r="H23" s="203">
        <f t="shared" si="5"/>
        <v>3.7029508747261031</v>
      </c>
      <c r="I23" s="203">
        <f t="shared" si="1"/>
        <v>6.1637282811749872</v>
      </c>
      <c r="J23" s="204">
        <f t="shared" si="2"/>
        <v>13227.360891401522</v>
      </c>
      <c r="K23" s="205">
        <f t="shared" si="6"/>
        <v>7946.5325771622174</v>
      </c>
      <c r="L23" s="206">
        <f t="shared" si="3"/>
        <v>5280.8283142393047</v>
      </c>
      <c r="M23" s="207">
        <f t="shared" si="7"/>
        <v>168.35545246303153</v>
      </c>
      <c r="N23" s="208">
        <f t="shared" si="8"/>
        <v>5449.1837667023365</v>
      </c>
      <c r="O23" s="207">
        <f t="shared" si="9"/>
        <v>0</v>
      </c>
      <c r="P23" s="207">
        <f t="shared" si="10"/>
        <v>0</v>
      </c>
      <c r="Q23" s="207">
        <v>0</v>
      </c>
      <c r="R23" s="208">
        <f t="shared" si="11"/>
        <v>5449.1837667023365</v>
      </c>
    </row>
    <row r="24" spans="1:18" ht="12" customHeight="1" x14ac:dyDescent="0.2">
      <c r="A24" s="162">
        <v>5</v>
      </c>
      <c r="B24" s="199">
        <f t="shared" si="4"/>
        <v>44317</v>
      </c>
      <c r="C24" s="200">
        <v>44350</v>
      </c>
      <c r="D24" s="200">
        <v>44371</v>
      </c>
      <c r="E24" s="54" t="s">
        <v>21</v>
      </c>
      <c r="F24" s="162">
        <v>9</v>
      </c>
      <c r="G24" s="202">
        <v>2961</v>
      </c>
      <c r="H24" s="203">
        <f t="shared" si="5"/>
        <v>3.7029508747261031</v>
      </c>
      <c r="I24" s="203">
        <f t="shared" si="1"/>
        <v>6.1637282811749872</v>
      </c>
      <c r="J24" s="204">
        <f t="shared" si="2"/>
        <v>18250.799440559138</v>
      </c>
      <c r="K24" s="205">
        <f t="shared" si="6"/>
        <v>10964.437540063991</v>
      </c>
      <c r="L24" s="206">
        <f t="shared" si="3"/>
        <v>7286.361900495147</v>
      </c>
      <c r="M24" s="207">
        <f t="shared" si="7"/>
        <v>232.29286800700669</v>
      </c>
      <c r="N24" s="208">
        <f t="shared" si="8"/>
        <v>7518.6547685021533</v>
      </c>
      <c r="O24" s="207">
        <f t="shared" si="9"/>
        <v>0</v>
      </c>
      <c r="P24" s="207">
        <f t="shared" si="10"/>
        <v>0</v>
      </c>
      <c r="Q24" s="207">
        <v>0</v>
      </c>
      <c r="R24" s="208">
        <f t="shared" si="11"/>
        <v>7518.6547685021533</v>
      </c>
    </row>
    <row r="25" spans="1:18" x14ac:dyDescent="0.2">
      <c r="A25" s="162">
        <v>6</v>
      </c>
      <c r="B25" s="199">
        <f t="shared" si="4"/>
        <v>44348</v>
      </c>
      <c r="C25" s="200">
        <v>44383</v>
      </c>
      <c r="D25" s="200">
        <v>44401</v>
      </c>
      <c r="E25" s="54" t="s">
        <v>21</v>
      </c>
      <c r="F25" s="162">
        <v>9</v>
      </c>
      <c r="G25" s="202">
        <v>3827</v>
      </c>
      <c r="H25" s="203">
        <f t="shared" si="5"/>
        <v>3.7029508747261031</v>
      </c>
      <c r="I25" s="203">
        <f t="shared" si="1"/>
        <v>6.1637282811749872</v>
      </c>
      <c r="J25" s="204">
        <f t="shared" si="2"/>
        <v>23588.588132056677</v>
      </c>
      <c r="K25" s="205">
        <f t="shared" si="6"/>
        <v>14171.192997576796</v>
      </c>
      <c r="L25" s="210">
        <f t="shared" si="3"/>
        <v>9417.3951344798807</v>
      </c>
      <c r="M25" s="207">
        <f t="shared" si="7"/>
        <v>300.23127519851892</v>
      </c>
      <c r="N25" s="208">
        <f t="shared" si="8"/>
        <v>9717.6264096783998</v>
      </c>
      <c r="O25" s="207">
        <f t="shared" si="9"/>
        <v>0</v>
      </c>
      <c r="P25" s="207">
        <f t="shared" si="10"/>
        <v>0</v>
      </c>
      <c r="Q25" s="207">
        <v>0</v>
      </c>
      <c r="R25" s="208">
        <f t="shared" si="11"/>
        <v>9717.6264096783998</v>
      </c>
    </row>
    <row r="26" spans="1:18" x14ac:dyDescent="0.2">
      <c r="A26" s="125">
        <v>7</v>
      </c>
      <c r="B26" s="199">
        <f t="shared" si="4"/>
        <v>44378</v>
      </c>
      <c r="C26" s="200">
        <v>44412</v>
      </c>
      <c r="D26" s="200">
        <v>44432</v>
      </c>
      <c r="E26" s="54" t="s">
        <v>21</v>
      </c>
      <c r="F26" s="162">
        <v>9</v>
      </c>
      <c r="G26" s="202">
        <v>3938</v>
      </c>
      <c r="H26" s="203">
        <f t="shared" si="5"/>
        <v>3.7029508747261031</v>
      </c>
      <c r="I26" s="203">
        <f t="shared" si="1"/>
        <v>6.1637282811749872</v>
      </c>
      <c r="J26" s="204">
        <f t="shared" si="2"/>
        <v>24272.7619712671</v>
      </c>
      <c r="K26" s="211">
        <f t="shared" si="6"/>
        <v>14582.220544671394</v>
      </c>
      <c r="L26" s="210">
        <f t="shared" si="3"/>
        <v>9690.5414265957061</v>
      </c>
      <c r="M26" s="207">
        <f t="shared" si="7"/>
        <v>308.93931584315851</v>
      </c>
      <c r="N26" s="208">
        <f t="shared" si="8"/>
        <v>9999.4807424388637</v>
      </c>
      <c r="O26" s="207">
        <f t="shared" si="9"/>
        <v>0</v>
      </c>
      <c r="P26" s="207">
        <f t="shared" si="10"/>
        <v>0</v>
      </c>
      <c r="Q26" s="207">
        <v>0</v>
      </c>
      <c r="R26" s="208">
        <f t="shared" si="11"/>
        <v>9999.4807424388637</v>
      </c>
    </row>
    <row r="27" spans="1:18" x14ac:dyDescent="0.2">
      <c r="A27" s="162">
        <v>8</v>
      </c>
      <c r="B27" s="199">
        <f t="shared" si="4"/>
        <v>44409</v>
      </c>
      <c r="C27" s="200">
        <v>44442</v>
      </c>
      <c r="D27" s="200">
        <v>44463</v>
      </c>
      <c r="E27" s="54" t="s">
        <v>21</v>
      </c>
      <c r="F27" s="162">
        <v>9</v>
      </c>
      <c r="G27" s="202">
        <v>4002</v>
      </c>
      <c r="H27" s="203">
        <f t="shared" si="5"/>
        <v>3.7029508747261031</v>
      </c>
      <c r="I27" s="203">
        <f t="shared" si="1"/>
        <v>6.1637282811749872</v>
      </c>
      <c r="J27" s="204">
        <f t="shared" si="2"/>
        <v>24667.2405812623</v>
      </c>
      <c r="K27" s="211">
        <f t="shared" si="6"/>
        <v>14819.209400653865</v>
      </c>
      <c r="L27" s="210">
        <f t="shared" si="3"/>
        <v>9848.0311806084355</v>
      </c>
      <c r="M27" s="207">
        <f t="shared" si="7"/>
        <v>313.96016810673444</v>
      </c>
      <c r="N27" s="208">
        <f t="shared" si="8"/>
        <v>10161.99134871517</v>
      </c>
      <c r="O27" s="207">
        <f t="shared" si="9"/>
        <v>0</v>
      </c>
      <c r="P27" s="207">
        <f t="shared" si="10"/>
        <v>0</v>
      </c>
      <c r="Q27" s="207">
        <v>0</v>
      </c>
      <c r="R27" s="208">
        <f t="shared" si="11"/>
        <v>10161.99134871517</v>
      </c>
    </row>
    <row r="28" spans="1:18" x14ac:dyDescent="0.2">
      <c r="A28" s="162">
        <v>9</v>
      </c>
      <c r="B28" s="199">
        <f t="shared" si="4"/>
        <v>44440</v>
      </c>
      <c r="C28" s="200">
        <v>44474</v>
      </c>
      <c r="D28" s="200">
        <v>44494</v>
      </c>
      <c r="E28" s="54" t="s">
        <v>21</v>
      </c>
      <c r="F28" s="162">
        <v>9</v>
      </c>
      <c r="G28" s="202">
        <v>4029</v>
      </c>
      <c r="H28" s="203">
        <f t="shared" si="5"/>
        <v>3.7029508747261031</v>
      </c>
      <c r="I28" s="203">
        <f t="shared" si="1"/>
        <v>6.1637282811749872</v>
      </c>
      <c r="J28" s="204">
        <f t="shared" si="2"/>
        <v>24833.661244854022</v>
      </c>
      <c r="K28" s="211">
        <f t="shared" si="6"/>
        <v>14919.18907427147</v>
      </c>
      <c r="L28" s="210">
        <f t="shared" si="3"/>
        <v>9914.4721705825523</v>
      </c>
      <c r="M28" s="207">
        <f t="shared" si="7"/>
        <v>316.07834015543057</v>
      </c>
      <c r="N28" s="208">
        <f t="shared" si="8"/>
        <v>10230.550510737983</v>
      </c>
      <c r="O28" s="207">
        <f t="shared" si="9"/>
        <v>0</v>
      </c>
      <c r="P28" s="207">
        <f t="shared" si="10"/>
        <v>0</v>
      </c>
      <c r="Q28" s="207">
        <v>0</v>
      </c>
      <c r="R28" s="208">
        <f t="shared" si="11"/>
        <v>10230.550510737983</v>
      </c>
    </row>
    <row r="29" spans="1:18" x14ac:dyDescent="0.2">
      <c r="A29" s="125">
        <v>10</v>
      </c>
      <c r="B29" s="199">
        <f t="shared" si="4"/>
        <v>44470</v>
      </c>
      <c r="C29" s="200">
        <v>44503</v>
      </c>
      <c r="D29" s="200">
        <v>44524</v>
      </c>
      <c r="E29" s="54" t="s">
        <v>21</v>
      </c>
      <c r="F29" s="162">
        <v>9</v>
      </c>
      <c r="G29" s="202">
        <v>3123</v>
      </c>
      <c r="H29" s="203">
        <f t="shared" si="5"/>
        <v>3.7029508747261031</v>
      </c>
      <c r="I29" s="203">
        <f t="shared" si="1"/>
        <v>6.1637282811749872</v>
      </c>
      <c r="J29" s="204">
        <f t="shared" si="2"/>
        <v>19249.323422109486</v>
      </c>
      <c r="K29" s="211">
        <f t="shared" si="6"/>
        <v>11564.315581769621</v>
      </c>
      <c r="L29" s="210">
        <f t="shared" si="3"/>
        <v>7685.0078403398657</v>
      </c>
      <c r="M29" s="207">
        <f t="shared" si="7"/>
        <v>245.00190029918338</v>
      </c>
      <c r="N29" s="208">
        <f t="shared" si="8"/>
        <v>7930.0097406390487</v>
      </c>
      <c r="O29" s="207">
        <f t="shared" si="9"/>
        <v>0</v>
      </c>
      <c r="P29" s="207">
        <f t="shared" si="10"/>
        <v>0</v>
      </c>
      <c r="Q29" s="207">
        <v>0</v>
      </c>
      <c r="R29" s="208">
        <f t="shared" si="11"/>
        <v>7930.0097406390487</v>
      </c>
    </row>
    <row r="30" spans="1:18" x14ac:dyDescent="0.2">
      <c r="A30" s="162">
        <v>11</v>
      </c>
      <c r="B30" s="199">
        <f t="shared" si="4"/>
        <v>44501</v>
      </c>
      <c r="C30" s="200">
        <v>44533</v>
      </c>
      <c r="D30" s="200">
        <v>44557</v>
      </c>
      <c r="E30" s="54" t="s">
        <v>21</v>
      </c>
      <c r="F30" s="162">
        <v>9</v>
      </c>
      <c r="G30" s="202">
        <v>2263</v>
      </c>
      <c r="H30" s="203">
        <f t="shared" si="5"/>
        <v>3.7029508747261031</v>
      </c>
      <c r="I30" s="203">
        <f t="shared" si="1"/>
        <v>6.1637282811749872</v>
      </c>
      <c r="J30" s="204">
        <f t="shared" si="2"/>
        <v>13948.517100298996</v>
      </c>
      <c r="K30" s="211">
        <f t="shared" si="6"/>
        <v>8379.7778295051721</v>
      </c>
      <c r="L30" s="210">
        <f t="shared" si="3"/>
        <v>5568.7392707938234</v>
      </c>
      <c r="M30" s="207">
        <f t="shared" si="7"/>
        <v>177.53419800738135</v>
      </c>
      <c r="N30" s="208">
        <f t="shared" si="8"/>
        <v>5746.2734688012051</v>
      </c>
      <c r="O30" s="207">
        <f t="shared" si="9"/>
        <v>0</v>
      </c>
      <c r="P30" s="207">
        <f t="shared" si="10"/>
        <v>0</v>
      </c>
      <c r="Q30" s="207">
        <v>0</v>
      </c>
      <c r="R30" s="208">
        <f t="shared" si="11"/>
        <v>5746.2734688012051</v>
      </c>
    </row>
    <row r="31" spans="1:18" x14ac:dyDescent="0.2">
      <c r="A31" s="162">
        <v>12</v>
      </c>
      <c r="B31" s="199">
        <f t="shared" si="4"/>
        <v>44531</v>
      </c>
      <c r="C31" s="212">
        <v>44566</v>
      </c>
      <c r="D31" s="213">
        <v>44585</v>
      </c>
      <c r="E31" s="54" t="s">
        <v>21</v>
      </c>
      <c r="F31" s="162">
        <v>9</v>
      </c>
      <c r="G31" s="202">
        <v>2379</v>
      </c>
      <c r="H31" s="214">
        <f t="shared" si="5"/>
        <v>3.7029508747261031</v>
      </c>
      <c r="I31" s="214">
        <f t="shared" si="1"/>
        <v>6.1637282811749872</v>
      </c>
      <c r="J31" s="215">
        <f t="shared" si="2"/>
        <v>14663.509580915295</v>
      </c>
      <c r="K31" s="216">
        <f t="shared" si="6"/>
        <v>8809.3201309733995</v>
      </c>
      <c r="L31" s="217">
        <f t="shared" si="3"/>
        <v>5854.1894499418959</v>
      </c>
      <c r="M31" s="207">
        <f t="shared" si="7"/>
        <v>186.63449273511276</v>
      </c>
      <c r="N31" s="208">
        <f t="shared" si="8"/>
        <v>6040.8239426770087</v>
      </c>
      <c r="O31" s="207">
        <f t="shared" si="9"/>
        <v>0</v>
      </c>
      <c r="P31" s="207">
        <f t="shared" si="10"/>
        <v>0</v>
      </c>
      <c r="Q31" s="207">
        <v>0</v>
      </c>
      <c r="R31" s="208">
        <f t="shared" si="11"/>
        <v>6040.8239426770087</v>
      </c>
    </row>
    <row r="32" spans="1:18" x14ac:dyDescent="0.2">
      <c r="A32" s="125">
        <v>1</v>
      </c>
      <c r="B32" s="218">
        <f t="shared" si="4"/>
        <v>44197</v>
      </c>
      <c r="C32" s="219">
        <f t="shared" ref="C32:D43" si="12">+C20</f>
        <v>44230</v>
      </c>
      <c r="D32" s="219">
        <f t="shared" si="12"/>
        <v>44251</v>
      </c>
      <c r="E32" s="220" t="s">
        <v>22</v>
      </c>
      <c r="F32" s="221">
        <v>9</v>
      </c>
      <c r="G32" s="202">
        <v>2771</v>
      </c>
      <c r="H32" s="203">
        <f t="shared" si="5"/>
        <v>3.7029508747261031</v>
      </c>
      <c r="I32" s="203">
        <f t="shared" si="1"/>
        <v>6.1637282811749872</v>
      </c>
      <c r="J32" s="204">
        <f t="shared" si="2"/>
        <v>17079.691067135889</v>
      </c>
      <c r="K32" s="205">
        <f t="shared" si="6"/>
        <v>10260.876873866031</v>
      </c>
      <c r="L32" s="206">
        <f t="shared" si="3"/>
        <v>6818.8141932698582</v>
      </c>
      <c r="M32" s="207">
        <f t="shared" si="7"/>
        <v>217.38721284951555</v>
      </c>
      <c r="N32" s="208">
        <f t="shared" si="8"/>
        <v>7036.201406119374</v>
      </c>
      <c r="O32" s="207">
        <f t="shared" si="9"/>
        <v>0</v>
      </c>
      <c r="P32" s="207">
        <f t="shared" si="10"/>
        <v>0</v>
      </c>
      <c r="Q32" s="207">
        <v>0</v>
      </c>
      <c r="R32" s="208">
        <f t="shared" si="11"/>
        <v>7036.201406119374</v>
      </c>
    </row>
    <row r="33" spans="1:18" x14ac:dyDescent="0.2">
      <c r="A33" s="162">
        <v>2</v>
      </c>
      <c r="B33" s="199">
        <f t="shared" si="4"/>
        <v>44228</v>
      </c>
      <c r="C33" s="222">
        <f t="shared" si="12"/>
        <v>44258</v>
      </c>
      <c r="D33" s="222">
        <f t="shared" si="12"/>
        <v>44279</v>
      </c>
      <c r="E33" s="209" t="s">
        <v>22</v>
      </c>
      <c r="F33" s="162">
        <v>9</v>
      </c>
      <c r="G33" s="202">
        <v>3136</v>
      </c>
      <c r="H33" s="203">
        <f t="shared" si="5"/>
        <v>3.7029508747261031</v>
      </c>
      <c r="I33" s="203">
        <f t="shared" si="1"/>
        <v>6.1637282811749872</v>
      </c>
      <c r="J33" s="204">
        <f t="shared" si="2"/>
        <v>19329.451889764761</v>
      </c>
      <c r="K33" s="205">
        <f t="shared" si="6"/>
        <v>11612.453943141059</v>
      </c>
      <c r="L33" s="206">
        <f t="shared" si="3"/>
        <v>7716.9979466237019</v>
      </c>
      <c r="M33" s="207">
        <f t="shared" si="7"/>
        <v>246.02176091522225</v>
      </c>
      <c r="N33" s="208">
        <f t="shared" si="8"/>
        <v>7963.0197075389242</v>
      </c>
      <c r="O33" s="207">
        <f t="shared" si="9"/>
        <v>0</v>
      </c>
      <c r="P33" s="207">
        <f t="shared" si="10"/>
        <v>0</v>
      </c>
      <c r="Q33" s="207">
        <v>0</v>
      </c>
      <c r="R33" s="208">
        <f t="shared" si="11"/>
        <v>7963.0197075389242</v>
      </c>
    </row>
    <row r="34" spans="1:18" x14ac:dyDescent="0.2">
      <c r="A34" s="162">
        <v>3</v>
      </c>
      <c r="B34" s="199">
        <f t="shared" si="4"/>
        <v>44256</v>
      </c>
      <c r="C34" s="222">
        <f t="shared" si="12"/>
        <v>44291</v>
      </c>
      <c r="D34" s="222">
        <f t="shared" si="12"/>
        <v>44312</v>
      </c>
      <c r="E34" s="209" t="s">
        <v>22</v>
      </c>
      <c r="F34" s="162">
        <v>9</v>
      </c>
      <c r="G34" s="202">
        <v>2339</v>
      </c>
      <c r="H34" s="203">
        <f t="shared" si="5"/>
        <v>3.7029508747261031</v>
      </c>
      <c r="I34" s="203">
        <f t="shared" si="1"/>
        <v>6.1637282811749872</v>
      </c>
      <c r="J34" s="204">
        <f t="shared" si="2"/>
        <v>14416.960449668295</v>
      </c>
      <c r="K34" s="205">
        <f t="shared" ref="K34:K93" si="13">+$G34*H34</f>
        <v>8661.2020959843558</v>
      </c>
      <c r="L34" s="206">
        <f t="shared" si="3"/>
        <v>5755.7583536839393</v>
      </c>
      <c r="M34" s="207">
        <f t="shared" si="7"/>
        <v>183.49646007037779</v>
      </c>
      <c r="N34" s="208">
        <f t="shared" si="8"/>
        <v>5939.2548137543172</v>
      </c>
      <c r="O34" s="207">
        <f t="shared" si="9"/>
        <v>0</v>
      </c>
      <c r="P34" s="207">
        <f t="shared" si="10"/>
        <v>0</v>
      </c>
      <c r="Q34" s="207">
        <v>0</v>
      </c>
      <c r="R34" s="208">
        <f t="shared" si="11"/>
        <v>5939.2548137543172</v>
      </c>
    </row>
    <row r="35" spans="1:18" x14ac:dyDescent="0.2">
      <c r="A35" s="125">
        <v>4</v>
      </c>
      <c r="B35" s="199">
        <f t="shared" si="4"/>
        <v>44287</v>
      </c>
      <c r="C35" s="222">
        <f t="shared" si="12"/>
        <v>44321</v>
      </c>
      <c r="D35" s="222">
        <f t="shared" si="12"/>
        <v>44340</v>
      </c>
      <c r="E35" s="209" t="s">
        <v>22</v>
      </c>
      <c r="F35" s="162">
        <v>9</v>
      </c>
      <c r="G35" s="202">
        <v>2394</v>
      </c>
      <c r="H35" s="203">
        <f t="shared" si="5"/>
        <v>3.7029508747261031</v>
      </c>
      <c r="I35" s="203">
        <f t="shared" si="1"/>
        <v>6.1637282811749872</v>
      </c>
      <c r="J35" s="204">
        <f t="shared" si="2"/>
        <v>14755.965505132919</v>
      </c>
      <c r="K35" s="205">
        <f t="shared" si="13"/>
        <v>8864.8643940942911</v>
      </c>
      <c r="L35" s="206">
        <f t="shared" ref="L35:L57" si="14">+J35-K35</f>
        <v>5891.101111038628</v>
      </c>
      <c r="M35" s="207">
        <f t="shared" si="7"/>
        <v>187.8112549843884</v>
      </c>
      <c r="N35" s="208">
        <f t="shared" si="8"/>
        <v>6078.9123660230161</v>
      </c>
      <c r="O35" s="207">
        <f t="shared" si="9"/>
        <v>0</v>
      </c>
      <c r="P35" s="207">
        <f t="shared" si="10"/>
        <v>0</v>
      </c>
      <c r="Q35" s="207">
        <v>0</v>
      </c>
      <c r="R35" s="208">
        <f t="shared" si="11"/>
        <v>6078.9123660230161</v>
      </c>
    </row>
    <row r="36" spans="1:18" x14ac:dyDescent="0.2">
      <c r="A36" s="162">
        <v>5</v>
      </c>
      <c r="B36" s="199">
        <f t="shared" si="4"/>
        <v>44317</v>
      </c>
      <c r="C36" s="222">
        <f t="shared" si="12"/>
        <v>44350</v>
      </c>
      <c r="D36" s="222">
        <f t="shared" si="12"/>
        <v>44371</v>
      </c>
      <c r="E36" s="54" t="s">
        <v>22</v>
      </c>
      <c r="F36" s="162">
        <v>9</v>
      </c>
      <c r="G36" s="202">
        <v>2807</v>
      </c>
      <c r="H36" s="203">
        <f t="shared" si="5"/>
        <v>3.7029508747261031</v>
      </c>
      <c r="I36" s="203">
        <f t="shared" si="1"/>
        <v>6.1637282811749872</v>
      </c>
      <c r="J36" s="204">
        <f t="shared" si="2"/>
        <v>17301.585285258188</v>
      </c>
      <c r="K36" s="205">
        <f t="shared" si="13"/>
        <v>10394.183105356171</v>
      </c>
      <c r="L36" s="206">
        <f t="shared" si="14"/>
        <v>6907.4021799020175</v>
      </c>
      <c r="M36" s="207">
        <f t="shared" si="7"/>
        <v>220.21144224777703</v>
      </c>
      <c r="N36" s="208">
        <f t="shared" si="8"/>
        <v>7127.6136221497945</v>
      </c>
      <c r="O36" s="207">
        <f t="shared" si="9"/>
        <v>0</v>
      </c>
      <c r="P36" s="207">
        <f t="shared" si="10"/>
        <v>0</v>
      </c>
      <c r="Q36" s="207">
        <v>0</v>
      </c>
      <c r="R36" s="208">
        <f t="shared" si="11"/>
        <v>7127.6136221497945</v>
      </c>
    </row>
    <row r="37" spans="1:18" x14ac:dyDescent="0.2">
      <c r="A37" s="162">
        <v>6</v>
      </c>
      <c r="B37" s="199">
        <f t="shared" si="4"/>
        <v>44348</v>
      </c>
      <c r="C37" s="222">
        <f t="shared" si="12"/>
        <v>44383</v>
      </c>
      <c r="D37" s="222">
        <f t="shared" si="12"/>
        <v>44401</v>
      </c>
      <c r="E37" s="54" t="s">
        <v>22</v>
      </c>
      <c r="F37" s="162">
        <v>9</v>
      </c>
      <c r="G37" s="202">
        <v>3345</v>
      </c>
      <c r="H37" s="203">
        <f t="shared" si="5"/>
        <v>3.7029508747261031</v>
      </c>
      <c r="I37" s="203">
        <f t="shared" si="1"/>
        <v>6.1637282811749872</v>
      </c>
      <c r="J37" s="204">
        <f t="shared" si="2"/>
        <v>20617.671100530333</v>
      </c>
      <c r="K37" s="205">
        <f t="shared" si="13"/>
        <v>12386.370675958815</v>
      </c>
      <c r="L37" s="210">
        <f t="shared" si="14"/>
        <v>8231.3004245715183</v>
      </c>
      <c r="M37" s="207">
        <f t="shared" si="7"/>
        <v>262.41798158846251</v>
      </c>
      <c r="N37" s="208">
        <f t="shared" si="8"/>
        <v>8493.7184061599801</v>
      </c>
      <c r="O37" s="207">
        <f t="shared" si="9"/>
        <v>0</v>
      </c>
      <c r="P37" s="207">
        <f t="shared" si="10"/>
        <v>0</v>
      </c>
      <c r="Q37" s="207">
        <v>0</v>
      </c>
      <c r="R37" s="208">
        <f t="shared" si="11"/>
        <v>8493.7184061599801</v>
      </c>
    </row>
    <row r="38" spans="1:18" x14ac:dyDescent="0.2">
      <c r="A38" s="125">
        <v>7</v>
      </c>
      <c r="B38" s="199">
        <f t="shared" si="4"/>
        <v>44378</v>
      </c>
      <c r="C38" s="222">
        <f t="shared" si="12"/>
        <v>44412</v>
      </c>
      <c r="D38" s="222">
        <f t="shared" si="12"/>
        <v>44432</v>
      </c>
      <c r="E38" s="54" t="s">
        <v>22</v>
      </c>
      <c r="F38" s="162">
        <v>9</v>
      </c>
      <c r="G38" s="202">
        <v>3525</v>
      </c>
      <c r="H38" s="203">
        <f t="shared" si="5"/>
        <v>3.7029508747261031</v>
      </c>
      <c r="I38" s="203">
        <f t="shared" si="1"/>
        <v>6.1637282811749872</v>
      </c>
      <c r="J38" s="204">
        <f t="shared" si="2"/>
        <v>21727.142191141829</v>
      </c>
      <c r="K38" s="211">
        <f t="shared" si="13"/>
        <v>13052.901833409513</v>
      </c>
      <c r="L38" s="210">
        <f t="shared" si="14"/>
        <v>8674.2403577323166</v>
      </c>
      <c r="M38" s="207">
        <f t="shared" si="7"/>
        <v>276.53912857976985</v>
      </c>
      <c r="N38" s="208">
        <f t="shared" si="8"/>
        <v>8950.7794863120871</v>
      </c>
      <c r="O38" s="207">
        <f t="shared" si="9"/>
        <v>0</v>
      </c>
      <c r="P38" s="207">
        <f t="shared" si="10"/>
        <v>0</v>
      </c>
      <c r="Q38" s="207">
        <v>0</v>
      </c>
      <c r="R38" s="208">
        <f t="shared" si="11"/>
        <v>8950.7794863120871</v>
      </c>
    </row>
    <row r="39" spans="1:18" x14ac:dyDescent="0.2">
      <c r="A39" s="162">
        <v>8</v>
      </c>
      <c r="B39" s="199">
        <f t="shared" si="4"/>
        <v>44409</v>
      </c>
      <c r="C39" s="222">
        <f t="shared" si="12"/>
        <v>44442</v>
      </c>
      <c r="D39" s="222">
        <f t="shared" si="12"/>
        <v>44463</v>
      </c>
      <c r="E39" s="54" t="s">
        <v>22</v>
      </c>
      <c r="F39" s="162">
        <v>9</v>
      </c>
      <c r="G39" s="202">
        <v>3514</v>
      </c>
      <c r="H39" s="203">
        <f t="shared" si="5"/>
        <v>3.7029508747261031</v>
      </c>
      <c r="I39" s="203">
        <f t="shared" si="1"/>
        <v>6.1637282811749872</v>
      </c>
      <c r="J39" s="204">
        <f t="shared" si="2"/>
        <v>21659.341180048905</v>
      </c>
      <c r="K39" s="211">
        <f t="shared" si="13"/>
        <v>13012.169373787527</v>
      </c>
      <c r="L39" s="210">
        <f t="shared" si="14"/>
        <v>8647.1718062613782</v>
      </c>
      <c r="M39" s="207">
        <f t="shared" si="7"/>
        <v>275.67616959696772</v>
      </c>
      <c r="N39" s="208">
        <f t="shared" si="8"/>
        <v>8922.8479758583453</v>
      </c>
      <c r="O39" s="207">
        <f t="shared" si="9"/>
        <v>0</v>
      </c>
      <c r="P39" s="207">
        <f t="shared" si="10"/>
        <v>0</v>
      </c>
      <c r="Q39" s="207">
        <v>0</v>
      </c>
      <c r="R39" s="208">
        <f t="shared" si="11"/>
        <v>8922.8479758583453</v>
      </c>
    </row>
    <row r="40" spans="1:18" x14ac:dyDescent="0.2">
      <c r="A40" s="162">
        <v>9</v>
      </c>
      <c r="B40" s="199">
        <f t="shared" si="4"/>
        <v>44440</v>
      </c>
      <c r="C40" s="222">
        <f t="shared" si="12"/>
        <v>44474</v>
      </c>
      <c r="D40" s="222">
        <f t="shared" si="12"/>
        <v>44494</v>
      </c>
      <c r="E40" s="54" t="s">
        <v>22</v>
      </c>
      <c r="F40" s="162">
        <v>9</v>
      </c>
      <c r="G40" s="202">
        <v>3486</v>
      </c>
      <c r="H40" s="203">
        <f t="shared" si="5"/>
        <v>3.7029508747261031</v>
      </c>
      <c r="I40" s="203">
        <f t="shared" si="1"/>
        <v>6.1637282811749872</v>
      </c>
      <c r="J40" s="204">
        <f t="shared" si="2"/>
        <v>21486.756788176004</v>
      </c>
      <c r="K40" s="211">
        <f t="shared" si="13"/>
        <v>12908.486749295196</v>
      </c>
      <c r="L40" s="210">
        <f t="shared" si="14"/>
        <v>8578.270038880808</v>
      </c>
      <c r="M40" s="207">
        <f t="shared" si="7"/>
        <v>273.47954673165327</v>
      </c>
      <c r="N40" s="208">
        <f t="shared" si="8"/>
        <v>8851.7495856124606</v>
      </c>
      <c r="O40" s="207">
        <f t="shared" si="9"/>
        <v>0</v>
      </c>
      <c r="P40" s="207">
        <f t="shared" si="10"/>
        <v>0</v>
      </c>
      <c r="Q40" s="207">
        <v>0</v>
      </c>
      <c r="R40" s="208">
        <f t="shared" si="11"/>
        <v>8851.7495856124606</v>
      </c>
    </row>
    <row r="41" spans="1:18" x14ac:dyDescent="0.2">
      <c r="A41" s="125">
        <v>10</v>
      </c>
      <c r="B41" s="199">
        <f t="shared" si="4"/>
        <v>44470</v>
      </c>
      <c r="C41" s="222">
        <f t="shared" si="12"/>
        <v>44503</v>
      </c>
      <c r="D41" s="222">
        <f t="shared" si="12"/>
        <v>44524</v>
      </c>
      <c r="E41" s="54" t="s">
        <v>22</v>
      </c>
      <c r="F41" s="162">
        <v>9</v>
      </c>
      <c r="G41" s="202">
        <v>2777</v>
      </c>
      <c r="H41" s="203">
        <f t="shared" si="5"/>
        <v>3.7029508747261031</v>
      </c>
      <c r="I41" s="203">
        <f t="shared" si="1"/>
        <v>6.1637282811749872</v>
      </c>
      <c r="J41" s="204">
        <f t="shared" si="2"/>
        <v>17116.673436822941</v>
      </c>
      <c r="K41" s="211">
        <f t="shared" si="13"/>
        <v>10283.094579114388</v>
      </c>
      <c r="L41" s="210">
        <f t="shared" si="14"/>
        <v>6833.5788577085532</v>
      </c>
      <c r="M41" s="207">
        <f t="shared" si="7"/>
        <v>217.85791774922581</v>
      </c>
      <c r="N41" s="208">
        <f t="shared" si="8"/>
        <v>7051.4367754577788</v>
      </c>
      <c r="O41" s="207">
        <f t="shared" si="9"/>
        <v>0</v>
      </c>
      <c r="P41" s="207">
        <f t="shared" si="10"/>
        <v>0</v>
      </c>
      <c r="Q41" s="207">
        <v>0</v>
      </c>
      <c r="R41" s="208">
        <f t="shared" si="11"/>
        <v>7051.4367754577788</v>
      </c>
    </row>
    <row r="42" spans="1:18" x14ac:dyDescent="0.2">
      <c r="A42" s="162">
        <v>11</v>
      </c>
      <c r="B42" s="199">
        <f t="shared" si="4"/>
        <v>44501</v>
      </c>
      <c r="C42" s="222">
        <f t="shared" si="12"/>
        <v>44533</v>
      </c>
      <c r="D42" s="222">
        <f t="shared" si="12"/>
        <v>44557</v>
      </c>
      <c r="E42" s="54" t="s">
        <v>22</v>
      </c>
      <c r="F42" s="162">
        <v>9</v>
      </c>
      <c r="G42" s="202">
        <v>2284</v>
      </c>
      <c r="H42" s="203">
        <f t="shared" si="5"/>
        <v>3.7029508747261031</v>
      </c>
      <c r="I42" s="203">
        <f t="shared" si="1"/>
        <v>6.1637282811749872</v>
      </c>
      <c r="J42" s="204">
        <f t="shared" si="2"/>
        <v>14077.955394203671</v>
      </c>
      <c r="K42" s="211">
        <f t="shared" si="13"/>
        <v>8457.5397978744186</v>
      </c>
      <c r="L42" s="210">
        <f t="shared" si="14"/>
        <v>5620.4155963292524</v>
      </c>
      <c r="M42" s="207">
        <f t="shared" si="7"/>
        <v>179.18166515636719</v>
      </c>
      <c r="N42" s="208">
        <f t="shared" si="8"/>
        <v>5799.5972614856191</v>
      </c>
      <c r="O42" s="207">
        <f t="shared" si="9"/>
        <v>0</v>
      </c>
      <c r="P42" s="207">
        <f t="shared" si="10"/>
        <v>0</v>
      </c>
      <c r="Q42" s="207">
        <v>0</v>
      </c>
      <c r="R42" s="208">
        <f t="shared" si="11"/>
        <v>5799.5972614856191</v>
      </c>
    </row>
    <row r="43" spans="1:18" x14ac:dyDescent="0.2">
      <c r="A43" s="162">
        <v>12</v>
      </c>
      <c r="B43" s="199">
        <f t="shared" si="4"/>
        <v>44531</v>
      </c>
      <c r="C43" s="222">
        <f t="shared" si="12"/>
        <v>44566</v>
      </c>
      <c r="D43" s="222">
        <f t="shared" si="12"/>
        <v>44585</v>
      </c>
      <c r="E43" s="54" t="s">
        <v>22</v>
      </c>
      <c r="F43" s="162">
        <v>9</v>
      </c>
      <c r="G43" s="202">
        <v>2425</v>
      </c>
      <c r="H43" s="214">
        <f t="shared" si="5"/>
        <v>3.7029508747261031</v>
      </c>
      <c r="I43" s="214">
        <f t="shared" si="1"/>
        <v>6.1637282811749872</v>
      </c>
      <c r="J43" s="215">
        <f t="shared" si="2"/>
        <v>14947.041081849344</v>
      </c>
      <c r="K43" s="216">
        <f t="shared" si="13"/>
        <v>8979.6558712107999</v>
      </c>
      <c r="L43" s="217">
        <f t="shared" si="14"/>
        <v>5967.3852106385439</v>
      </c>
      <c r="M43" s="207">
        <f t="shared" si="7"/>
        <v>190.24323029955801</v>
      </c>
      <c r="N43" s="208">
        <f t="shared" si="8"/>
        <v>6157.6284409381014</v>
      </c>
      <c r="O43" s="207">
        <f t="shared" si="9"/>
        <v>0</v>
      </c>
      <c r="P43" s="207">
        <f t="shared" si="10"/>
        <v>0</v>
      </c>
      <c r="Q43" s="207">
        <v>0</v>
      </c>
      <c r="R43" s="208">
        <f t="shared" si="11"/>
        <v>6157.6284409381014</v>
      </c>
    </row>
    <row r="44" spans="1:18" x14ac:dyDescent="0.2">
      <c r="A44" s="125">
        <v>1</v>
      </c>
      <c r="B44" s="218">
        <f t="shared" ref="B44:B55" si="15">DATE($R$1,A44,1)</f>
        <v>44197</v>
      </c>
      <c r="C44" s="219">
        <f t="shared" ref="C44:D55" si="16">+C32</f>
        <v>44230</v>
      </c>
      <c r="D44" s="219">
        <f t="shared" si="16"/>
        <v>44251</v>
      </c>
      <c r="E44" s="220" t="s">
        <v>82</v>
      </c>
      <c r="F44" s="221">
        <v>9</v>
      </c>
      <c r="G44" s="202">
        <v>146</v>
      </c>
      <c r="H44" s="203">
        <f t="shared" si="5"/>
        <v>3.7029508747261031</v>
      </c>
      <c r="I44" s="203">
        <f t="shared" si="1"/>
        <v>6.1637282811749872</v>
      </c>
      <c r="J44" s="207">
        <f t="shared" ref="J44:J55" si="17">+$G44*I44</f>
        <v>899.90432905154807</v>
      </c>
      <c r="K44" s="211">
        <f t="shared" ref="K44:K55" si="18">+$G44*H44</f>
        <v>540.63082771001109</v>
      </c>
      <c r="L44" s="210">
        <f t="shared" ref="L44:L55" si="19">+J44-K44</f>
        <v>359.27350134153698</v>
      </c>
      <c r="M44" s="207">
        <f t="shared" si="7"/>
        <v>11.453819226282668</v>
      </c>
      <c r="N44" s="208">
        <f t="shared" si="8"/>
        <v>370.72732056781967</v>
      </c>
      <c r="O44" s="207">
        <f t="shared" si="9"/>
        <v>0</v>
      </c>
      <c r="P44" s="207">
        <f t="shared" si="10"/>
        <v>0</v>
      </c>
      <c r="Q44" s="207">
        <v>0</v>
      </c>
      <c r="R44" s="208">
        <f t="shared" si="11"/>
        <v>370.72732056781967</v>
      </c>
    </row>
    <row r="45" spans="1:18" x14ac:dyDescent="0.2">
      <c r="A45" s="162">
        <v>2</v>
      </c>
      <c r="B45" s="199">
        <f t="shared" si="15"/>
        <v>44228</v>
      </c>
      <c r="C45" s="222">
        <f t="shared" si="16"/>
        <v>44258</v>
      </c>
      <c r="D45" s="222">
        <f t="shared" si="16"/>
        <v>44279</v>
      </c>
      <c r="E45" s="209" t="s">
        <v>82</v>
      </c>
      <c r="F45" s="162">
        <v>9</v>
      </c>
      <c r="G45" s="202">
        <v>212</v>
      </c>
      <c r="H45" s="203">
        <f t="shared" si="5"/>
        <v>3.7029508747261031</v>
      </c>
      <c r="I45" s="203">
        <f t="shared" si="1"/>
        <v>6.1637282811749872</v>
      </c>
      <c r="J45" s="207">
        <f t="shared" si="17"/>
        <v>1306.7103956090973</v>
      </c>
      <c r="K45" s="211">
        <f t="shared" si="18"/>
        <v>785.0255854419338</v>
      </c>
      <c r="L45" s="210">
        <f t="shared" si="19"/>
        <v>521.6848101671635</v>
      </c>
      <c r="M45" s="207">
        <f t="shared" si="7"/>
        <v>16.631573123095382</v>
      </c>
      <c r="N45" s="208">
        <f t="shared" si="8"/>
        <v>538.31638329025884</v>
      </c>
      <c r="O45" s="207">
        <f t="shared" si="9"/>
        <v>0</v>
      </c>
      <c r="P45" s="207">
        <f t="shared" si="10"/>
        <v>0</v>
      </c>
      <c r="Q45" s="207">
        <v>0</v>
      </c>
      <c r="R45" s="208">
        <f t="shared" si="11"/>
        <v>538.31638329025884</v>
      </c>
    </row>
    <row r="46" spans="1:18" x14ac:dyDescent="0.2">
      <c r="A46" s="162">
        <v>3</v>
      </c>
      <c r="B46" s="199">
        <f t="shared" si="15"/>
        <v>44256</v>
      </c>
      <c r="C46" s="222">
        <f t="shared" si="16"/>
        <v>44291</v>
      </c>
      <c r="D46" s="222">
        <f t="shared" si="16"/>
        <v>44312</v>
      </c>
      <c r="E46" s="209" t="s">
        <v>82</v>
      </c>
      <c r="F46" s="162">
        <v>9</v>
      </c>
      <c r="G46" s="202">
        <v>125</v>
      </c>
      <c r="H46" s="203">
        <f t="shared" si="5"/>
        <v>3.7029508747261031</v>
      </c>
      <c r="I46" s="203">
        <f t="shared" si="1"/>
        <v>6.1637282811749872</v>
      </c>
      <c r="J46" s="207">
        <f t="shared" si="17"/>
        <v>770.46603514687342</v>
      </c>
      <c r="K46" s="211">
        <f t="shared" si="18"/>
        <v>462.86885934076287</v>
      </c>
      <c r="L46" s="210">
        <f t="shared" si="19"/>
        <v>307.59717580611056</v>
      </c>
      <c r="M46" s="207">
        <f t="shared" si="7"/>
        <v>9.806352077296804</v>
      </c>
      <c r="N46" s="208">
        <f t="shared" si="8"/>
        <v>317.40352788340738</v>
      </c>
      <c r="O46" s="207">
        <f t="shared" si="9"/>
        <v>0</v>
      </c>
      <c r="P46" s="207">
        <f t="shared" si="10"/>
        <v>0</v>
      </c>
      <c r="Q46" s="207">
        <v>0</v>
      </c>
      <c r="R46" s="208">
        <f t="shared" si="11"/>
        <v>317.40352788340738</v>
      </c>
    </row>
    <row r="47" spans="1:18" x14ac:dyDescent="0.2">
      <c r="A47" s="125">
        <v>4</v>
      </c>
      <c r="B47" s="199">
        <f t="shared" si="15"/>
        <v>44287</v>
      </c>
      <c r="C47" s="222">
        <f t="shared" si="16"/>
        <v>44321</v>
      </c>
      <c r="D47" s="222">
        <f t="shared" si="16"/>
        <v>44340</v>
      </c>
      <c r="E47" s="209" t="s">
        <v>82</v>
      </c>
      <c r="F47" s="162">
        <v>9</v>
      </c>
      <c r="G47" s="202">
        <v>92</v>
      </c>
      <c r="H47" s="203">
        <f t="shared" si="5"/>
        <v>3.7029508747261031</v>
      </c>
      <c r="I47" s="203">
        <f t="shared" si="1"/>
        <v>6.1637282811749872</v>
      </c>
      <c r="J47" s="207">
        <f t="shared" si="17"/>
        <v>567.06300186809881</v>
      </c>
      <c r="K47" s="211">
        <f t="shared" si="18"/>
        <v>340.67148047480146</v>
      </c>
      <c r="L47" s="210">
        <f t="shared" si="19"/>
        <v>226.39152139329735</v>
      </c>
      <c r="M47" s="207">
        <f t="shared" si="7"/>
        <v>7.217475128890448</v>
      </c>
      <c r="N47" s="208">
        <f t="shared" si="8"/>
        <v>233.60899652218779</v>
      </c>
      <c r="O47" s="207">
        <f t="shared" si="9"/>
        <v>0</v>
      </c>
      <c r="P47" s="207">
        <f t="shared" si="10"/>
        <v>0</v>
      </c>
      <c r="Q47" s="207">
        <v>0</v>
      </c>
      <c r="R47" s="208">
        <f t="shared" si="11"/>
        <v>233.60899652218779</v>
      </c>
    </row>
    <row r="48" spans="1:18" x14ac:dyDescent="0.2">
      <c r="A48" s="162">
        <v>5</v>
      </c>
      <c r="B48" s="199">
        <f t="shared" si="15"/>
        <v>44317</v>
      </c>
      <c r="C48" s="222">
        <f t="shared" si="16"/>
        <v>44350</v>
      </c>
      <c r="D48" s="222">
        <f t="shared" si="16"/>
        <v>44371</v>
      </c>
      <c r="E48" s="209" t="s">
        <v>82</v>
      </c>
      <c r="F48" s="162">
        <v>9</v>
      </c>
      <c r="G48" s="202">
        <v>102</v>
      </c>
      <c r="H48" s="203">
        <f t="shared" si="5"/>
        <v>3.7029508747261031</v>
      </c>
      <c r="I48" s="203">
        <f t="shared" si="1"/>
        <v>6.1637282811749872</v>
      </c>
      <c r="J48" s="207">
        <f t="shared" si="17"/>
        <v>628.70028467984866</v>
      </c>
      <c r="K48" s="211">
        <f t="shared" si="18"/>
        <v>377.7009892220625</v>
      </c>
      <c r="L48" s="210">
        <f t="shared" si="19"/>
        <v>250.99929545778616</v>
      </c>
      <c r="M48" s="207">
        <f t="shared" si="7"/>
        <v>8.0019832950741936</v>
      </c>
      <c r="N48" s="208">
        <f t="shared" si="8"/>
        <v>259.00127875286034</v>
      </c>
      <c r="O48" s="207">
        <f t="shared" si="9"/>
        <v>0</v>
      </c>
      <c r="P48" s="207">
        <f t="shared" si="10"/>
        <v>0</v>
      </c>
      <c r="Q48" s="207">
        <v>0</v>
      </c>
      <c r="R48" s="208">
        <f t="shared" si="11"/>
        <v>259.00127875286034</v>
      </c>
    </row>
    <row r="49" spans="1:18" x14ac:dyDescent="0.2">
      <c r="A49" s="162">
        <v>6</v>
      </c>
      <c r="B49" s="199">
        <f t="shared" si="15"/>
        <v>44348</v>
      </c>
      <c r="C49" s="222">
        <f t="shared" si="16"/>
        <v>44383</v>
      </c>
      <c r="D49" s="222">
        <f t="shared" si="16"/>
        <v>44401</v>
      </c>
      <c r="E49" s="209" t="s">
        <v>82</v>
      </c>
      <c r="F49" s="162">
        <v>9</v>
      </c>
      <c r="G49" s="202">
        <v>124</v>
      </c>
      <c r="H49" s="203">
        <f t="shared" si="5"/>
        <v>3.7029508747261031</v>
      </c>
      <c r="I49" s="203">
        <f t="shared" si="1"/>
        <v>6.1637282811749872</v>
      </c>
      <c r="J49" s="207">
        <f t="shared" si="17"/>
        <v>764.30230686569837</v>
      </c>
      <c r="K49" s="211">
        <f t="shared" si="18"/>
        <v>459.1659084660368</v>
      </c>
      <c r="L49" s="210">
        <f t="shared" si="19"/>
        <v>305.13639839966157</v>
      </c>
      <c r="M49" s="207">
        <f t="shared" si="7"/>
        <v>9.7279012606784292</v>
      </c>
      <c r="N49" s="208">
        <f t="shared" si="8"/>
        <v>314.86429966034001</v>
      </c>
      <c r="O49" s="207">
        <f t="shared" si="9"/>
        <v>0</v>
      </c>
      <c r="P49" s="207">
        <f t="shared" si="10"/>
        <v>0</v>
      </c>
      <c r="Q49" s="207">
        <v>0</v>
      </c>
      <c r="R49" s="208">
        <f t="shared" si="11"/>
        <v>314.86429966034001</v>
      </c>
    </row>
    <row r="50" spans="1:18" x14ac:dyDescent="0.2">
      <c r="A50" s="125">
        <v>7</v>
      </c>
      <c r="B50" s="199">
        <f t="shared" si="15"/>
        <v>44378</v>
      </c>
      <c r="C50" s="222">
        <f t="shared" si="16"/>
        <v>44412</v>
      </c>
      <c r="D50" s="222">
        <f t="shared" si="16"/>
        <v>44432</v>
      </c>
      <c r="E50" s="209" t="s">
        <v>82</v>
      </c>
      <c r="F50" s="162">
        <v>9</v>
      </c>
      <c r="G50" s="202">
        <v>138</v>
      </c>
      <c r="H50" s="203">
        <f t="shared" si="5"/>
        <v>3.7029508747261031</v>
      </c>
      <c r="I50" s="203">
        <f t="shared" si="1"/>
        <v>6.1637282811749872</v>
      </c>
      <c r="J50" s="207">
        <f t="shared" si="17"/>
        <v>850.59450280214821</v>
      </c>
      <c r="K50" s="211">
        <f t="shared" si="18"/>
        <v>511.00722071220224</v>
      </c>
      <c r="L50" s="210">
        <f t="shared" si="19"/>
        <v>339.58728208994597</v>
      </c>
      <c r="M50" s="207">
        <f t="shared" si="7"/>
        <v>10.826212693335673</v>
      </c>
      <c r="N50" s="208">
        <f t="shared" si="8"/>
        <v>350.41349478328164</v>
      </c>
      <c r="O50" s="207">
        <f t="shared" si="9"/>
        <v>0</v>
      </c>
      <c r="P50" s="207">
        <f t="shared" si="10"/>
        <v>0</v>
      </c>
      <c r="Q50" s="207">
        <v>0</v>
      </c>
      <c r="R50" s="208">
        <f t="shared" si="11"/>
        <v>350.41349478328164</v>
      </c>
    </row>
    <row r="51" spans="1:18" x14ac:dyDescent="0.2">
      <c r="A51" s="162">
        <v>8</v>
      </c>
      <c r="B51" s="199">
        <f t="shared" si="15"/>
        <v>44409</v>
      </c>
      <c r="C51" s="222">
        <f t="shared" si="16"/>
        <v>44442</v>
      </c>
      <c r="D51" s="222">
        <f t="shared" si="16"/>
        <v>44463</v>
      </c>
      <c r="E51" s="209" t="s">
        <v>82</v>
      </c>
      <c r="F51" s="162">
        <v>9</v>
      </c>
      <c r="G51" s="202">
        <v>140</v>
      </c>
      <c r="H51" s="203">
        <f t="shared" si="5"/>
        <v>3.7029508747261031</v>
      </c>
      <c r="I51" s="203">
        <f t="shared" si="1"/>
        <v>6.1637282811749872</v>
      </c>
      <c r="J51" s="207">
        <f t="shared" si="17"/>
        <v>862.92195936449821</v>
      </c>
      <c r="K51" s="211">
        <f t="shared" si="18"/>
        <v>518.41312246165444</v>
      </c>
      <c r="L51" s="210">
        <f t="shared" si="19"/>
        <v>344.50883690284377</v>
      </c>
      <c r="M51" s="207">
        <f t="shared" si="7"/>
        <v>10.983114326572421</v>
      </c>
      <c r="N51" s="208">
        <f t="shared" si="8"/>
        <v>355.4919512294162</v>
      </c>
      <c r="O51" s="207">
        <f t="shared" si="9"/>
        <v>0</v>
      </c>
      <c r="P51" s="207">
        <f t="shared" si="10"/>
        <v>0</v>
      </c>
      <c r="Q51" s="207">
        <v>0</v>
      </c>
      <c r="R51" s="208">
        <f t="shared" si="11"/>
        <v>355.4919512294162</v>
      </c>
    </row>
    <row r="52" spans="1:18" x14ac:dyDescent="0.2">
      <c r="A52" s="162">
        <v>9</v>
      </c>
      <c r="B52" s="199">
        <f t="shared" si="15"/>
        <v>44440</v>
      </c>
      <c r="C52" s="222">
        <f t="shared" si="16"/>
        <v>44474</v>
      </c>
      <c r="D52" s="222">
        <f t="shared" si="16"/>
        <v>44494</v>
      </c>
      <c r="E52" s="209" t="s">
        <v>82</v>
      </c>
      <c r="F52" s="162">
        <v>9</v>
      </c>
      <c r="G52" s="202">
        <v>140</v>
      </c>
      <c r="H52" s="203">
        <f t="shared" si="5"/>
        <v>3.7029508747261031</v>
      </c>
      <c r="I52" s="203">
        <f t="shared" si="1"/>
        <v>6.1637282811749872</v>
      </c>
      <c r="J52" s="207">
        <f t="shared" si="17"/>
        <v>862.92195936449821</v>
      </c>
      <c r="K52" s="211">
        <f t="shared" si="18"/>
        <v>518.41312246165444</v>
      </c>
      <c r="L52" s="210">
        <f t="shared" si="19"/>
        <v>344.50883690284377</v>
      </c>
      <c r="M52" s="207">
        <f t="shared" si="7"/>
        <v>10.983114326572421</v>
      </c>
      <c r="N52" s="208">
        <f t="shared" si="8"/>
        <v>355.4919512294162</v>
      </c>
      <c r="O52" s="207">
        <f t="shared" si="9"/>
        <v>0</v>
      </c>
      <c r="P52" s="207">
        <f t="shared" si="10"/>
        <v>0</v>
      </c>
      <c r="Q52" s="207">
        <v>0</v>
      </c>
      <c r="R52" s="208">
        <f t="shared" si="11"/>
        <v>355.4919512294162</v>
      </c>
    </row>
    <row r="53" spans="1:18" x14ac:dyDescent="0.2">
      <c r="A53" s="125">
        <v>10</v>
      </c>
      <c r="B53" s="199">
        <f t="shared" si="15"/>
        <v>44470</v>
      </c>
      <c r="C53" s="222">
        <f t="shared" si="16"/>
        <v>44503</v>
      </c>
      <c r="D53" s="222">
        <f t="shared" si="16"/>
        <v>44524</v>
      </c>
      <c r="E53" s="209" t="s">
        <v>82</v>
      </c>
      <c r="F53" s="162">
        <v>9</v>
      </c>
      <c r="G53" s="202">
        <v>106</v>
      </c>
      <c r="H53" s="203">
        <f t="shared" si="5"/>
        <v>3.7029508747261031</v>
      </c>
      <c r="I53" s="203">
        <f t="shared" si="1"/>
        <v>6.1637282811749872</v>
      </c>
      <c r="J53" s="207">
        <f t="shared" si="17"/>
        <v>653.35519780454865</v>
      </c>
      <c r="K53" s="211">
        <f t="shared" si="18"/>
        <v>392.5127927209669</v>
      </c>
      <c r="L53" s="210">
        <f t="shared" si="19"/>
        <v>260.84240508358175</v>
      </c>
      <c r="M53" s="207">
        <f t="shared" si="7"/>
        <v>8.3157865615476911</v>
      </c>
      <c r="N53" s="208">
        <f t="shared" si="8"/>
        <v>269.15819164512942</v>
      </c>
      <c r="O53" s="207">
        <f t="shared" si="9"/>
        <v>0</v>
      </c>
      <c r="P53" s="207">
        <f t="shared" si="10"/>
        <v>0</v>
      </c>
      <c r="Q53" s="207">
        <v>0</v>
      </c>
      <c r="R53" s="208">
        <f t="shared" si="11"/>
        <v>269.15819164512942</v>
      </c>
    </row>
    <row r="54" spans="1:18" x14ac:dyDescent="0.2">
      <c r="A54" s="162">
        <v>11</v>
      </c>
      <c r="B54" s="199">
        <f t="shared" si="15"/>
        <v>44501</v>
      </c>
      <c r="C54" s="222">
        <f t="shared" si="16"/>
        <v>44533</v>
      </c>
      <c r="D54" s="222">
        <f t="shared" si="16"/>
        <v>44557</v>
      </c>
      <c r="E54" s="209" t="s">
        <v>82</v>
      </c>
      <c r="F54" s="162">
        <v>9</v>
      </c>
      <c r="G54" s="202">
        <v>107</v>
      </c>
      <c r="H54" s="203">
        <f t="shared" si="5"/>
        <v>3.7029508747261031</v>
      </c>
      <c r="I54" s="203">
        <f t="shared" si="1"/>
        <v>6.1637282811749872</v>
      </c>
      <c r="J54" s="207">
        <f t="shared" si="17"/>
        <v>659.51892608572359</v>
      </c>
      <c r="K54" s="211">
        <f t="shared" si="18"/>
        <v>396.21574359569303</v>
      </c>
      <c r="L54" s="210">
        <f t="shared" si="19"/>
        <v>263.30318249003057</v>
      </c>
      <c r="M54" s="207">
        <f t="shared" si="7"/>
        <v>8.3942373781660642</v>
      </c>
      <c r="N54" s="208">
        <f t="shared" si="8"/>
        <v>271.69741986819662</v>
      </c>
      <c r="O54" s="207">
        <f t="shared" si="9"/>
        <v>0</v>
      </c>
      <c r="P54" s="207">
        <f t="shared" si="10"/>
        <v>0</v>
      </c>
      <c r="Q54" s="207">
        <v>0</v>
      </c>
      <c r="R54" s="208">
        <f t="shared" si="11"/>
        <v>271.69741986819662</v>
      </c>
    </row>
    <row r="55" spans="1:18" x14ac:dyDescent="0.2">
      <c r="A55" s="162">
        <v>12</v>
      </c>
      <c r="B55" s="199">
        <f t="shared" si="15"/>
        <v>44531</v>
      </c>
      <c r="C55" s="222">
        <f t="shared" si="16"/>
        <v>44566</v>
      </c>
      <c r="D55" s="222">
        <f t="shared" si="16"/>
        <v>44585</v>
      </c>
      <c r="E55" s="209" t="s">
        <v>82</v>
      </c>
      <c r="F55" s="162">
        <v>9</v>
      </c>
      <c r="G55" s="202">
        <v>110</v>
      </c>
      <c r="H55" s="214">
        <f t="shared" si="5"/>
        <v>3.7029508747261031</v>
      </c>
      <c r="I55" s="214">
        <f t="shared" si="1"/>
        <v>6.1637282811749872</v>
      </c>
      <c r="J55" s="215">
        <f t="shared" si="17"/>
        <v>678.01011092924864</v>
      </c>
      <c r="K55" s="216">
        <f t="shared" si="18"/>
        <v>407.32459621987135</v>
      </c>
      <c r="L55" s="217">
        <f t="shared" si="19"/>
        <v>270.68551470937729</v>
      </c>
      <c r="M55" s="207">
        <f t="shared" si="7"/>
        <v>8.6295898280211887</v>
      </c>
      <c r="N55" s="208">
        <f t="shared" si="8"/>
        <v>279.3151045373985</v>
      </c>
      <c r="O55" s="207">
        <f t="shared" si="9"/>
        <v>0</v>
      </c>
      <c r="P55" s="207">
        <f t="shared" si="10"/>
        <v>0</v>
      </c>
      <c r="Q55" s="207">
        <v>0</v>
      </c>
      <c r="R55" s="208">
        <f t="shared" si="11"/>
        <v>279.3151045373985</v>
      </c>
    </row>
    <row r="56" spans="1:18" s="223" customFormat="1" x14ac:dyDescent="0.2">
      <c r="A56" s="125">
        <v>1</v>
      </c>
      <c r="B56" s="218">
        <f t="shared" si="4"/>
        <v>44197</v>
      </c>
      <c r="C56" s="219">
        <f t="shared" ref="C56:D67" si="20">+C32</f>
        <v>44230</v>
      </c>
      <c r="D56" s="219">
        <f t="shared" si="20"/>
        <v>44251</v>
      </c>
      <c r="E56" s="220" t="s">
        <v>14</v>
      </c>
      <c r="F56" s="221">
        <v>9</v>
      </c>
      <c r="G56" s="202">
        <v>767</v>
      </c>
      <c r="H56" s="203">
        <f t="shared" si="5"/>
        <v>3.7029508747261031</v>
      </c>
      <c r="I56" s="203">
        <f t="shared" si="1"/>
        <v>6.1637282811749872</v>
      </c>
      <c r="J56" s="204">
        <f t="shared" si="2"/>
        <v>4727.5795916612151</v>
      </c>
      <c r="K56" s="205">
        <f t="shared" si="13"/>
        <v>2840.1633209149209</v>
      </c>
      <c r="L56" s="206">
        <f t="shared" si="14"/>
        <v>1887.4162707462942</v>
      </c>
      <c r="M56" s="207">
        <f t="shared" si="7"/>
        <v>60.171776346293186</v>
      </c>
      <c r="N56" s="208">
        <f t="shared" si="8"/>
        <v>1947.5880470925874</v>
      </c>
      <c r="O56" s="207">
        <f t="shared" si="9"/>
        <v>0</v>
      </c>
      <c r="P56" s="207">
        <f t="shared" si="10"/>
        <v>0</v>
      </c>
      <c r="Q56" s="207">
        <v>0</v>
      </c>
      <c r="R56" s="208">
        <f t="shared" si="11"/>
        <v>1947.5880470925874</v>
      </c>
    </row>
    <row r="57" spans="1:18" x14ac:dyDescent="0.2">
      <c r="A57" s="162">
        <v>2</v>
      </c>
      <c r="B57" s="199">
        <f t="shared" si="4"/>
        <v>44228</v>
      </c>
      <c r="C57" s="222">
        <f t="shared" si="20"/>
        <v>44258</v>
      </c>
      <c r="D57" s="222">
        <f t="shared" si="20"/>
        <v>44279</v>
      </c>
      <c r="E57" s="209" t="s">
        <v>14</v>
      </c>
      <c r="F57" s="162">
        <v>9</v>
      </c>
      <c r="G57" s="202">
        <v>1062</v>
      </c>
      <c r="H57" s="203">
        <f t="shared" si="5"/>
        <v>3.7029508747261031</v>
      </c>
      <c r="I57" s="203">
        <f t="shared" si="1"/>
        <v>6.1637282811749872</v>
      </c>
      <c r="J57" s="204">
        <f t="shared" si="2"/>
        <v>6545.8794346078366</v>
      </c>
      <c r="K57" s="205">
        <f t="shared" si="13"/>
        <v>3932.5338289591214</v>
      </c>
      <c r="L57" s="206">
        <f t="shared" si="14"/>
        <v>2613.3456056487153</v>
      </c>
      <c r="M57" s="207">
        <f t="shared" si="7"/>
        <v>83.31476724871365</v>
      </c>
      <c r="N57" s="208">
        <f t="shared" si="8"/>
        <v>2696.6603728974287</v>
      </c>
      <c r="O57" s="207">
        <f t="shared" si="9"/>
        <v>0</v>
      </c>
      <c r="P57" s="207">
        <f t="shared" si="10"/>
        <v>0</v>
      </c>
      <c r="Q57" s="207">
        <v>0</v>
      </c>
      <c r="R57" s="208">
        <f t="shared" si="11"/>
        <v>2696.6603728974287</v>
      </c>
    </row>
    <row r="58" spans="1:18" x14ac:dyDescent="0.2">
      <c r="A58" s="162">
        <v>3</v>
      </c>
      <c r="B58" s="199">
        <f t="shared" si="4"/>
        <v>44256</v>
      </c>
      <c r="C58" s="222">
        <f t="shared" si="20"/>
        <v>44291</v>
      </c>
      <c r="D58" s="222">
        <f t="shared" si="20"/>
        <v>44312</v>
      </c>
      <c r="E58" s="209" t="s">
        <v>14</v>
      </c>
      <c r="F58" s="162">
        <v>9</v>
      </c>
      <c r="G58" s="202">
        <v>599</v>
      </c>
      <c r="H58" s="203">
        <f t="shared" si="5"/>
        <v>3.7029508747261031</v>
      </c>
      <c r="I58" s="203">
        <f t="shared" si="1"/>
        <v>6.1637282811749872</v>
      </c>
      <c r="J58" s="204">
        <f t="shared" si="2"/>
        <v>3692.0732404238174</v>
      </c>
      <c r="K58" s="205">
        <f t="shared" si="13"/>
        <v>2218.0675739609355</v>
      </c>
      <c r="L58" s="206">
        <f>+J58-K58</f>
        <v>1474.0056664628819</v>
      </c>
      <c r="M58" s="207">
        <f t="shared" si="7"/>
        <v>46.992039154406285</v>
      </c>
      <c r="N58" s="208">
        <f t="shared" si="8"/>
        <v>1520.9977056172881</v>
      </c>
      <c r="O58" s="207">
        <f t="shared" si="9"/>
        <v>0</v>
      </c>
      <c r="P58" s="207">
        <f t="shared" si="10"/>
        <v>0</v>
      </c>
      <c r="Q58" s="207">
        <v>0</v>
      </c>
      <c r="R58" s="208">
        <f t="shared" si="11"/>
        <v>1520.9977056172881</v>
      </c>
    </row>
    <row r="59" spans="1:18" x14ac:dyDescent="0.2">
      <c r="A59" s="125">
        <v>4</v>
      </c>
      <c r="B59" s="199">
        <f t="shared" si="4"/>
        <v>44287</v>
      </c>
      <c r="C59" s="222">
        <f t="shared" si="20"/>
        <v>44321</v>
      </c>
      <c r="D59" s="222">
        <f t="shared" si="20"/>
        <v>44340</v>
      </c>
      <c r="E59" s="209" t="s">
        <v>14</v>
      </c>
      <c r="F59" s="162">
        <v>9</v>
      </c>
      <c r="G59" s="202">
        <v>447</v>
      </c>
      <c r="H59" s="203">
        <f t="shared" si="5"/>
        <v>3.7029508747261031</v>
      </c>
      <c r="I59" s="203">
        <f t="shared" si="1"/>
        <v>6.1637282811749872</v>
      </c>
      <c r="J59" s="204">
        <f t="shared" si="2"/>
        <v>2755.1865416852193</v>
      </c>
      <c r="K59" s="205">
        <f t="shared" si="13"/>
        <v>1655.219041002568</v>
      </c>
      <c r="L59" s="206">
        <f t="shared" ref="L59:L81" si="21">+J59-K59</f>
        <v>1099.9675006826512</v>
      </c>
      <c r="M59" s="207">
        <f t="shared" si="7"/>
        <v>35.067515028413368</v>
      </c>
      <c r="N59" s="208">
        <f t="shared" si="8"/>
        <v>1135.0350157110647</v>
      </c>
      <c r="O59" s="207">
        <f t="shared" si="9"/>
        <v>0</v>
      </c>
      <c r="P59" s="207">
        <f t="shared" si="10"/>
        <v>0</v>
      </c>
      <c r="Q59" s="207">
        <v>0</v>
      </c>
      <c r="R59" s="208">
        <f t="shared" si="11"/>
        <v>1135.0350157110647</v>
      </c>
    </row>
    <row r="60" spans="1:18" x14ac:dyDescent="0.2">
      <c r="A60" s="162">
        <v>5</v>
      </c>
      <c r="B60" s="199">
        <f t="shared" si="4"/>
        <v>44317</v>
      </c>
      <c r="C60" s="222">
        <f t="shared" si="20"/>
        <v>44350</v>
      </c>
      <c r="D60" s="222">
        <f t="shared" si="20"/>
        <v>44371</v>
      </c>
      <c r="E60" s="54" t="s">
        <v>14</v>
      </c>
      <c r="F60" s="162">
        <v>9</v>
      </c>
      <c r="G60" s="202">
        <v>603</v>
      </c>
      <c r="H60" s="203">
        <f t="shared" si="5"/>
        <v>3.7029508747261031</v>
      </c>
      <c r="I60" s="203">
        <f t="shared" si="1"/>
        <v>6.1637282811749872</v>
      </c>
      <c r="J60" s="204">
        <f t="shared" si="2"/>
        <v>3716.7281535485172</v>
      </c>
      <c r="K60" s="205">
        <f t="shared" si="13"/>
        <v>2232.8793774598403</v>
      </c>
      <c r="L60" s="206">
        <f t="shared" si="21"/>
        <v>1483.8487760886769</v>
      </c>
      <c r="M60" s="207">
        <f t="shared" si="7"/>
        <v>47.305842420879777</v>
      </c>
      <c r="N60" s="208">
        <f t="shared" si="8"/>
        <v>1531.1546185095567</v>
      </c>
      <c r="O60" s="207">
        <f t="shared" si="9"/>
        <v>0</v>
      </c>
      <c r="P60" s="207">
        <f t="shared" si="10"/>
        <v>0</v>
      </c>
      <c r="Q60" s="207">
        <v>0</v>
      </c>
      <c r="R60" s="208">
        <f t="shared" si="11"/>
        <v>1531.1546185095567</v>
      </c>
    </row>
    <row r="61" spans="1:18" x14ac:dyDescent="0.2">
      <c r="A61" s="162">
        <v>6</v>
      </c>
      <c r="B61" s="199">
        <f t="shared" si="4"/>
        <v>44348</v>
      </c>
      <c r="C61" s="222">
        <f t="shared" si="20"/>
        <v>44383</v>
      </c>
      <c r="D61" s="222">
        <f t="shared" si="20"/>
        <v>44401</v>
      </c>
      <c r="E61" s="54" t="s">
        <v>14</v>
      </c>
      <c r="F61" s="162">
        <v>9</v>
      </c>
      <c r="G61" s="202">
        <v>840</v>
      </c>
      <c r="H61" s="203">
        <f t="shared" si="5"/>
        <v>3.7029508747261031</v>
      </c>
      <c r="I61" s="203">
        <f t="shared" si="1"/>
        <v>6.1637282811749872</v>
      </c>
      <c r="J61" s="204">
        <f t="shared" si="2"/>
        <v>5177.5317561869888</v>
      </c>
      <c r="K61" s="205">
        <f t="shared" si="13"/>
        <v>3110.4787347699266</v>
      </c>
      <c r="L61" s="210">
        <f t="shared" si="21"/>
        <v>2067.0530214170622</v>
      </c>
      <c r="M61" s="207">
        <f t="shared" si="7"/>
        <v>65.89868595943453</v>
      </c>
      <c r="N61" s="208">
        <f t="shared" si="8"/>
        <v>2132.9517073764969</v>
      </c>
      <c r="O61" s="207">
        <f t="shared" si="9"/>
        <v>0</v>
      </c>
      <c r="P61" s="207">
        <f t="shared" si="10"/>
        <v>0</v>
      </c>
      <c r="Q61" s="207">
        <v>0</v>
      </c>
      <c r="R61" s="208">
        <f t="shared" si="11"/>
        <v>2132.9517073764969</v>
      </c>
    </row>
    <row r="62" spans="1:18" x14ac:dyDescent="0.2">
      <c r="A62" s="125">
        <v>7</v>
      </c>
      <c r="B62" s="199">
        <f t="shared" si="4"/>
        <v>44378</v>
      </c>
      <c r="C62" s="222">
        <f t="shared" si="20"/>
        <v>44412</v>
      </c>
      <c r="D62" s="222">
        <f t="shared" si="20"/>
        <v>44432</v>
      </c>
      <c r="E62" s="54" t="s">
        <v>14</v>
      </c>
      <c r="F62" s="162">
        <v>9</v>
      </c>
      <c r="G62" s="202">
        <v>926</v>
      </c>
      <c r="H62" s="203">
        <f t="shared" si="5"/>
        <v>3.7029508747261031</v>
      </c>
      <c r="I62" s="203">
        <f t="shared" si="1"/>
        <v>6.1637282811749872</v>
      </c>
      <c r="J62" s="204">
        <f t="shared" si="2"/>
        <v>5707.6123883680384</v>
      </c>
      <c r="K62" s="211">
        <f t="shared" si="13"/>
        <v>3428.9325099963717</v>
      </c>
      <c r="L62" s="210">
        <f t="shared" si="21"/>
        <v>2278.6798783716667</v>
      </c>
      <c r="M62" s="207">
        <f t="shared" si="7"/>
        <v>72.645456188614716</v>
      </c>
      <c r="N62" s="208">
        <f t="shared" si="8"/>
        <v>2351.3253345602816</v>
      </c>
      <c r="O62" s="207">
        <f t="shared" si="9"/>
        <v>0</v>
      </c>
      <c r="P62" s="207">
        <f t="shared" si="10"/>
        <v>0</v>
      </c>
      <c r="Q62" s="207">
        <v>0</v>
      </c>
      <c r="R62" s="208">
        <f t="shared" si="11"/>
        <v>2351.3253345602816</v>
      </c>
    </row>
    <row r="63" spans="1:18" x14ac:dyDescent="0.2">
      <c r="A63" s="162">
        <v>8</v>
      </c>
      <c r="B63" s="199">
        <f t="shared" si="4"/>
        <v>44409</v>
      </c>
      <c r="C63" s="222">
        <f t="shared" si="20"/>
        <v>44442</v>
      </c>
      <c r="D63" s="222">
        <f t="shared" si="20"/>
        <v>44463</v>
      </c>
      <c r="E63" s="54" t="s">
        <v>14</v>
      </c>
      <c r="F63" s="162">
        <v>9</v>
      </c>
      <c r="G63" s="202">
        <v>943</v>
      </c>
      <c r="H63" s="203">
        <f t="shared" si="5"/>
        <v>3.7029508747261031</v>
      </c>
      <c r="I63" s="203">
        <f t="shared" si="1"/>
        <v>6.1637282811749872</v>
      </c>
      <c r="J63" s="204">
        <f t="shared" si="2"/>
        <v>5812.3957691480127</v>
      </c>
      <c r="K63" s="211">
        <f t="shared" si="13"/>
        <v>3491.8826748667152</v>
      </c>
      <c r="L63" s="210">
        <f t="shared" si="21"/>
        <v>2320.5130942812975</v>
      </c>
      <c r="M63" s="207">
        <f t="shared" si="7"/>
        <v>73.979120071127099</v>
      </c>
      <c r="N63" s="208">
        <f t="shared" si="8"/>
        <v>2394.4922143524245</v>
      </c>
      <c r="O63" s="207">
        <f t="shared" si="9"/>
        <v>0</v>
      </c>
      <c r="P63" s="207">
        <f t="shared" si="10"/>
        <v>0</v>
      </c>
      <c r="Q63" s="207">
        <v>0</v>
      </c>
      <c r="R63" s="208">
        <f t="shared" si="11"/>
        <v>2394.4922143524245</v>
      </c>
    </row>
    <row r="64" spans="1:18" x14ac:dyDescent="0.2">
      <c r="A64" s="162">
        <v>9</v>
      </c>
      <c r="B64" s="199">
        <f t="shared" si="4"/>
        <v>44440</v>
      </c>
      <c r="C64" s="222">
        <f t="shared" si="20"/>
        <v>44474</v>
      </c>
      <c r="D64" s="222">
        <f t="shared" si="20"/>
        <v>44494</v>
      </c>
      <c r="E64" s="54" t="s">
        <v>14</v>
      </c>
      <c r="F64" s="162">
        <v>9</v>
      </c>
      <c r="G64" s="202">
        <v>913</v>
      </c>
      <c r="H64" s="203">
        <f t="shared" si="5"/>
        <v>3.7029508747261031</v>
      </c>
      <c r="I64" s="203">
        <f t="shared" ref="I64:I107" si="22">$J$3</f>
        <v>6.1637282811749872</v>
      </c>
      <c r="J64" s="204">
        <f t="shared" si="2"/>
        <v>5627.4839207127634</v>
      </c>
      <c r="K64" s="211">
        <f t="shared" si="13"/>
        <v>3380.7941486249319</v>
      </c>
      <c r="L64" s="210">
        <f t="shared" si="21"/>
        <v>2246.6897720878314</v>
      </c>
      <c r="M64" s="207">
        <f t="shared" si="7"/>
        <v>71.625595572575861</v>
      </c>
      <c r="N64" s="208">
        <f t="shared" si="8"/>
        <v>2318.3153676604074</v>
      </c>
      <c r="O64" s="207">
        <f t="shared" si="9"/>
        <v>0</v>
      </c>
      <c r="P64" s="207">
        <f t="shared" si="10"/>
        <v>0</v>
      </c>
      <c r="Q64" s="207">
        <v>0</v>
      </c>
      <c r="R64" s="208">
        <f t="shared" si="11"/>
        <v>2318.3153676604074</v>
      </c>
    </row>
    <row r="65" spans="1:18" x14ac:dyDescent="0.2">
      <c r="A65" s="125">
        <v>10</v>
      </c>
      <c r="B65" s="199">
        <f t="shared" si="4"/>
        <v>44470</v>
      </c>
      <c r="C65" s="222">
        <f t="shared" si="20"/>
        <v>44503</v>
      </c>
      <c r="D65" s="222">
        <f t="shared" si="20"/>
        <v>44524</v>
      </c>
      <c r="E65" s="54" t="s">
        <v>14</v>
      </c>
      <c r="F65" s="162">
        <v>9</v>
      </c>
      <c r="G65" s="202">
        <v>681</v>
      </c>
      <c r="H65" s="203">
        <f t="shared" si="5"/>
        <v>3.7029508747261031</v>
      </c>
      <c r="I65" s="203">
        <f t="shared" si="22"/>
        <v>6.1637282811749872</v>
      </c>
      <c r="J65" s="204">
        <f t="shared" si="2"/>
        <v>4197.4989594801664</v>
      </c>
      <c r="K65" s="211">
        <f t="shared" si="13"/>
        <v>2521.7095456884763</v>
      </c>
      <c r="L65" s="210">
        <f t="shared" si="21"/>
        <v>1675.7894137916901</v>
      </c>
      <c r="M65" s="207">
        <f t="shared" si="7"/>
        <v>53.425006117112986</v>
      </c>
      <c r="N65" s="208">
        <f t="shared" si="8"/>
        <v>1729.2144199088032</v>
      </c>
      <c r="O65" s="207">
        <f t="shared" si="9"/>
        <v>0</v>
      </c>
      <c r="P65" s="207">
        <f t="shared" si="10"/>
        <v>0</v>
      </c>
      <c r="Q65" s="207">
        <v>0</v>
      </c>
      <c r="R65" s="208">
        <f t="shared" si="11"/>
        <v>1729.2144199088032</v>
      </c>
    </row>
    <row r="66" spans="1:18" x14ac:dyDescent="0.2">
      <c r="A66" s="162">
        <v>11</v>
      </c>
      <c r="B66" s="199">
        <f t="shared" si="4"/>
        <v>44501</v>
      </c>
      <c r="C66" s="222">
        <f t="shared" si="20"/>
        <v>44533</v>
      </c>
      <c r="D66" s="222">
        <f t="shared" si="20"/>
        <v>44557</v>
      </c>
      <c r="E66" s="54" t="s">
        <v>14</v>
      </c>
      <c r="F66" s="162">
        <v>9</v>
      </c>
      <c r="G66" s="202">
        <v>652</v>
      </c>
      <c r="H66" s="203">
        <f t="shared" si="5"/>
        <v>3.7029508747261031</v>
      </c>
      <c r="I66" s="203">
        <f t="shared" si="22"/>
        <v>6.1637282811749872</v>
      </c>
      <c r="J66" s="204">
        <f t="shared" si="2"/>
        <v>4018.7508393260914</v>
      </c>
      <c r="K66" s="211">
        <f t="shared" si="13"/>
        <v>2414.323970321419</v>
      </c>
      <c r="L66" s="210">
        <f t="shared" si="21"/>
        <v>1604.4268690046724</v>
      </c>
      <c r="M66" s="207">
        <f t="shared" si="7"/>
        <v>51.149932435180126</v>
      </c>
      <c r="N66" s="208">
        <f t="shared" si="8"/>
        <v>1655.5768014398525</v>
      </c>
      <c r="O66" s="207">
        <f t="shared" si="9"/>
        <v>0</v>
      </c>
      <c r="P66" s="207">
        <f t="shared" si="10"/>
        <v>0</v>
      </c>
      <c r="Q66" s="207">
        <v>0</v>
      </c>
      <c r="R66" s="208">
        <f t="shared" si="11"/>
        <v>1655.5768014398525</v>
      </c>
    </row>
    <row r="67" spans="1:18" s="226" customFormat="1" x14ac:dyDescent="0.2">
      <c r="A67" s="162">
        <v>12</v>
      </c>
      <c r="B67" s="224">
        <f t="shared" si="4"/>
        <v>44531</v>
      </c>
      <c r="C67" s="222">
        <f t="shared" si="20"/>
        <v>44566</v>
      </c>
      <c r="D67" s="222">
        <f t="shared" si="20"/>
        <v>44585</v>
      </c>
      <c r="E67" s="225" t="s">
        <v>14</v>
      </c>
      <c r="F67" s="173">
        <v>9</v>
      </c>
      <c r="G67" s="202">
        <v>634</v>
      </c>
      <c r="H67" s="214">
        <f t="shared" si="5"/>
        <v>3.7029508747261031</v>
      </c>
      <c r="I67" s="214">
        <f t="shared" si="22"/>
        <v>6.1637282811749872</v>
      </c>
      <c r="J67" s="215">
        <f t="shared" si="2"/>
        <v>3907.8037302649418</v>
      </c>
      <c r="K67" s="216">
        <f t="shared" si="13"/>
        <v>2347.6708545763495</v>
      </c>
      <c r="L67" s="217">
        <f t="shared" si="21"/>
        <v>1560.1328756885923</v>
      </c>
      <c r="M67" s="207">
        <f t="shared" si="7"/>
        <v>49.737817736049386</v>
      </c>
      <c r="N67" s="208">
        <f t="shared" si="8"/>
        <v>1609.8706934246418</v>
      </c>
      <c r="O67" s="207">
        <f t="shared" si="9"/>
        <v>0</v>
      </c>
      <c r="P67" s="207">
        <f t="shared" si="10"/>
        <v>0</v>
      </c>
      <c r="Q67" s="207">
        <v>0</v>
      </c>
      <c r="R67" s="208">
        <f t="shared" si="11"/>
        <v>1609.8706934246418</v>
      </c>
    </row>
    <row r="68" spans="1:18" x14ac:dyDescent="0.2">
      <c r="A68" s="125">
        <v>1</v>
      </c>
      <c r="B68" s="199">
        <f t="shared" si="4"/>
        <v>44197</v>
      </c>
      <c r="C68" s="219">
        <f t="shared" ref="C68:D79" si="23">+C56</f>
        <v>44230</v>
      </c>
      <c r="D68" s="219">
        <f t="shared" si="23"/>
        <v>44251</v>
      </c>
      <c r="E68" s="201" t="s">
        <v>86</v>
      </c>
      <c r="F68" s="125">
        <v>9</v>
      </c>
      <c r="G68" s="202">
        <v>38</v>
      </c>
      <c r="H68" s="203">
        <f t="shared" si="5"/>
        <v>3.7029508747261031</v>
      </c>
      <c r="I68" s="203">
        <f t="shared" si="22"/>
        <v>6.1637282811749872</v>
      </c>
      <c r="J68" s="204">
        <f t="shared" si="2"/>
        <v>234.22167468464951</v>
      </c>
      <c r="K68" s="205">
        <f t="shared" si="13"/>
        <v>140.71213323959191</v>
      </c>
      <c r="L68" s="206">
        <f t="shared" si="21"/>
        <v>93.509541445057607</v>
      </c>
      <c r="M68" s="207">
        <f t="shared" si="7"/>
        <v>2.9811310314982284</v>
      </c>
      <c r="N68" s="208">
        <f t="shared" si="8"/>
        <v>96.490672476555829</v>
      </c>
      <c r="O68" s="207">
        <f t="shared" si="9"/>
        <v>0</v>
      </c>
      <c r="P68" s="207">
        <f t="shared" si="10"/>
        <v>0</v>
      </c>
      <c r="Q68" s="207">
        <v>0</v>
      </c>
      <c r="R68" s="208">
        <f t="shared" si="11"/>
        <v>96.490672476555829</v>
      </c>
    </row>
    <row r="69" spans="1:18" x14ac:dyDescent="0.2">
      <c r="A69" s="162">
        <v>2</v>
      </c>
      <c r="B69" s="199">
        <f t="shared" si="4"/>
        <v>44228</v>
      </c>
      <c r="C69" s="222">
        <f t="shared" si="23"/>
        <v>44258</v>
      </c>
      <c r="D69" s="222">
        <f t="shared" si="23"/>
        <v>44279</v>
      </c>
      <c r="E69" s="209" t="s">
        <v>86</v>
      </c>
      <c r="F69" s="162">
        <v>9</v>
      </c>
      <c r="G69" s="202">
        <v>60</v>
      </c>
      <c r="H69" s="203">
        <f t="shared" si="5"/>
        <v>3.7029508747261031</v>
      </c>
      <c r="I69" s="203">
        <f t="shared" si="22"/>
        <v>6.1637282811749872</v>
      </c>
      <c r="J69" s="204">
        <f t="shared" si="2"/>
        <v>369.82369687049925</v>
      </c>
      <c r="K69" s="205">
        <f t="shared" si="13"/>
        <v>222.17705248356617</v>
      </c>
      <c r="L69" s="206">
        <f t="shared" si="21"/>
        <v>147.64664438693308</v>
      </c>
      <c r="M69" s="207">
        <f t="shared" si="7"/>
        <v>4.7070489971024658</v>
      </c>
      <c r="N69" s="208">
        <f t="shared" si="8"/>
        <v>152.35369338403555</v>
      </c>
      <c r="O69" s="207">
        <f t="shared" si="9"/>
        <v>0</v>
      </c>
      <c r="P69" s="207">
        <f t="shared" si="10"/>
        <v>0</v>
      </c>
      <c r="Q69" s="207">
        <v>0</v>
      </c>
      <c r="R69" s="208">
        <f t="shared" si="11"/>
        <v>152.35369338403555</v>
      </c>
    </row>
    <row r="70" spans="1:18" x14ac:dyDescent="0.2">
      <c r="A70" s="162">
        <v>3</v>
      </c>
      <c r="B70" s="199">
        <f t="shared" si="4"/>
        <v>44256</v>
      </c>
      <c r="C70" s="222">
        <f t="shared" si="23"/>
        <v>44291</v>
      </c>
      <c r="D70" s="222">
        <f t="shared" si="23"/>
        <v>44312</v>
      </c>
      <c r="E70" s="209" t="s">
        <v>86</v>
      </c>
      <c r="F70" s="162">
        <v>9</v>
      </c>
      <c r="G70" s="202">
        <v>31</v>
      </c>
      <c r="H70" s="203">
        <f t="shared" si="5"/>
        <v>3.7029508747261031</v>
      </c>
      <c r="I70" s="203">
        <f t="shared" si="22"/>
        <v>6.1637282811749872</v>
      </c>
      <c r="J70" s="204">
        <f t="shared" si="2"/>
        <v>191.07557671642459</v>
      </c>
      <c r="K70" s="205">
        <f t="shared" si="13"/>
        <v>114.7914771165092</v>
      </c>
      <c r="L70" s="206">
        <f>+J70-K70</f>
        <v>76.284099599915393</v>
      </c>
      <c r="M70" s="207">
        <f t="shared" si="7"/>
        <v>2.4319753151696073</v>
      </c>
      <c r="N70" s="208">
        <f t="shared" si="8"/>
        <v>78.716074915085002</v>
      </c>
      <c r="O70" s="207">
        <f t="shared" si="9"/>
        <v>0</v>
      </c>
      <c r="P70" s="207">
        <f t="shared" si="10"/>
        <v>0</v>
      </c>
      <c r="Q70" s="207">
        <v>0</v>
      </c>
      <c r="R70" s="208">
        <f t="shared" si="11"/>
        <v>78.716074915085002</v>
      </c>
    </row>
    <row r="71" spans="1:18" x14ac:dyDescent="0.2">
      <c r="A71" s="125">
        <v>4</v>
      </c>
      <c r="B71" s="199">
        <f t="shared" si="4"/>
        <v>44287</v>
      </c>
      <c r="C71" s="222">
        <f t="shared" si="23"/>
        <v>44321</v>
      </c>
      <c r="D71" s="222">
        <f t="shared" si="23"/>
        <v>44340</v>
      </c>
      <c r="E71" s="209" t="s">
        <v>86</v>
      </c>
      <c r="F71" s="162">
        <v>9</v>
      </c>
      <c r="G71" s="202">
        <v>20</v>
      </c>
      <c r="H71" s="203">
        <f t="shared" si="5"/>
        <v>3.7029508747261031</v>
      </c>
      <c r="I71" s="203">
        <f t="shared" si="22"/>
        <v>6.1637282811749872</v>
      </c>
      <c r="J71" s="204">
        <f t="shared" si="2"/>
        <v>123.27456562349974</v>
      </c>
      <c r="K71" s="205">
        <f t="shared" si="13"/>
        <v>74.059017494522067</v>
      </c>
      <c r="L71" s="206">
        <f t="shared" ref="L71:L79" si="24">+J71-K71</f>
        <v>49.215548128977673</v>
      </c>
      <c r="M71" s="207">
        <f t="shared" si="7"/>
        <v>1.5690163323674886</v>
      </c>
      <c r="N71" s="208">
        <f t="shared" si="8"/>
        <v>50.784564461345163</v>
      </c>
      <c r="O71" s="207">
        <f t="shared" si="9"/>
        <v>0</v>
      </c>
      <c r="P71" s="207">
        <f t="shared" si="10"/>
        <v>0</v>
      </c>
      <c r="Q71" s="207">
        <v>0</v>
      </c>
      <c r="R71" s="208">
        <f t="shared" si="11"/>
        <v>50.784564461345163</v>
      </c>
    </row>
    <row r="72" spans="1:18" x14ac:dyDescent="0.2">
      <c r="A72" s="162">
        <v>5</v>
      </c>
      <c r="B72" s="199">
        <f t="shared" si="4"/>
        <v>44317</v>
      </c>
      <c r="C72" s="222">
        <f t="shared" si="23"/>
        <v>44350</v>
      </c>
      <c r="D72" s="222">
        <f t="shared" si="23"/>
        <v>44371</v>
      </c>
      <c r="E72" s="209" t="s">
        <v>86</v>
      </c>
      <c r="F72" s="162">
        <v>9</v>
      </c>
      <c r="G72" s="202">
        <v>28</v>
      </c>
      <c r="H72" s="203">
        <f t="shared" si="5"/>
        <v>3.7029508747261031</v>
      </c>
      <c r="I72" s="203">
        <f t="shared" si="22"/>
        <v>6.1637282811749872</v>
      </c>
      <c r="J72" s="204">
        <f t="shared" si="2"/>
        <v>172.58439187289963</v>
      </c>
      <c r="K72" s="205">
        <f t="shared" si="13"/>
        <v>103.68262449233089</v>
      </c>
      <c r="L72" s="206">
        <f t="shared" si="24"/>
        <v>68.901767380568742</v>
      </c>
      <c r="M72" s="207">
        <f t="shared" si="7"/>
        <v>2.1966228653144841</v>
      </c>
      <c r="N72" s="208">
        <f t="shared" si="8"/>
        <v>71.098390245883223</v>
      </c>
      <c r="O72" s="207">
        <f t="shared" si="9"/>
        <v>0</v>
      </c>
      <c r="P72" s="207">
        <f t="shared" si="10"/>
        <v>0</v>
      </c>
      <c r="Q72" s="207">
        <v>0</v>
      </c>
      <c r="R72" s="208">
        <f t="shared" si="11"/>
        <v>71.098390245883223</v>
      </c>
    </row>
    <row r="73" spans="1:18" x14ac:dyDescent="0.2">
      <c r="A73" s="162">
        <v>6</v>
      </c>
      <c r="B73" s="199">
        <f t="shared" si="4"/>
        <v>44348</v>
      </c>
      <c r="C73" s="222">
        <f t="shared" si="23"/>
        <v>44383</v>
      </c>
      <c r="D73" s="222">
        <f t="shared" si="23"/>
        <v>44401</v>
      </c>
      <c r="E73" s="209" t="s">
        <v>86</v>
      </c>
      <c r="F73" s="162">
        <v>9</v>
      </c>
      <c r="G73" s="202">
        <v>45</v>
      </c>
      <c r="H73" s="203">
        <f t="shared" si="5"/>
        <v>3.7029508747261031</v>
      </c>
      <c r="I73" s="203">
        <f t="shared" si="22"/>
        <v>6.1637282811749872</v>
      </c>
      <c r="J73" s="204">
        <f t="shared" si="2"/>
        <v>277.36777265287441</v>
      </c>
      <c r="K73" s="205">
        <f t="shared" si="13"/>
        <v>166.63278936267463</v>
      </c>
      <c r="L73" s="210">
        <f t="shared" si="24"/>
        <v>110.73498329019978</v>
      </c>
      <c r="M73" s="207">
        <f t="shared" si="7"/>
        <v>3.5302867478268496</v>
      </c>
      <c r="N73" s="208">
        <f t="shared" si="8"/>
        <v>114.26527003802663</v>
      </c>
      <c r="O73" s="207">
        <f t="shared" si="9"/>
        <v>0</v>
      </c>
      <c r="P73" s="207">
        <f t="shared" si="10"/>
        <v>0</v>
      </c>
      <c r="Q73" s="207">
        <v>0</v>
      </c>
      <c r="R73" s="208">
        <f t="shared" si="11"/>
        <v>114.26527003802663</v>
      </c>
    </row>
    <row r="74" spans="1:18" x14ac:dyDescent="0.2">
      <c r="A74" s="125">
        <v>7</v>
      </c>
      <c r="B74" s="199">
        <f t="shared" si="4"/>
        <v>44378</v>
      </c>
      <c r="C74" s="222">
        <f t="shared" si="23"/>
        <v>44412</v>
      </c>
      <c r="D74" s="222">
        <f t="shared" si="23"/>
        <v>44432</v>
      </c>
      <c r="E74" s="209" t="s">
        <v>86</v>
      </c>
      <c r="F74" s="162">
        <v>9</v>
      </c>
      <c r="G74" s="202">
        <v>53</v>
      </c>
      <c r="H74" s="203">
        <f t="shared" si="5"/>
        <v>3.7029508747261031</v>
      </c>
      <c r="I74" s="203">
        <f t="shared" si="22"/>
        <v>6.1637282811749872</v>
      </c>
      <c r="J74" s="204">
        <f t="shared" si="2"/>
        <v>326.67759890227433</v>
      </c>
      <c r="K74" s="211">
        <f t="shared" si="13"/>
        <v>196.25639636048345</v>
      </c>
      <c r="L74" s="210">
        <f t="shared" si="24"/>
        <v>130.42120254179088</v>
      </c>
      <c r="M74" s="207">
        <f t="shared" si="7"/>
        <v>4.1578932807738456</v>
      </c>
      <c r="N74" s="208">
        <f t="shared" si="8"/>
        <v>134.57909582256471</v>
      </c>
      <c r="O74" s="207">
        <f t="shared" si="9"/>
        <v>0</v>
      </c>
      <c r="P74" s="207">
        <f t="shared" si="10"/>
        <v>0</v>
      </c>
      <c r="Q74" s="207">
        <v>0</v>
      </c>
      <c r="R74" s="208">
        <f t="shared" si="11"/>
        <v>134.57909582256471</v>
      </c>
    </row>
    <row r="75" spans="1:18" x14ac:dyDescent="0.2">
      <c r="A75" s="162">
        <v>8</v>
      </c>
      <c r="B75" s="199">
        <f t="shared" si="4"/>
        <v>44409</v>
      </c>
      <c r="C75" s="222">
        <f t="shared" si="23"/>
        <v>44442</v>
      </c>
      <c r="D75" s="222">
        <f t="shared" si="23"/>
        <v>44463</v>
      </c>
      <c r="E75" s="209" t="s">
        <v>86</v>
      </c>
      <c r="F75" s="162">
        <v>9</v>
      </c>
      <c r="G75" s="202">
        <v>50</v>
      </c>
      <c r="H75" s="203">
        <f t="shared" si="5"/>
        <v>3.7029508747261031</v>
      </c>
      <c r="I75" s="203">
        <f t="shared" si="22"/>
        <v>6.1637282811749872</v>
      </c>
      <c r="J75" s="204">
        <f t="shared" si="2"/>
        <v>308.18641405874934</v>
      </c>
      <c r="K75" s="211">
        <f t="shared" si="13"/>
        <v>185.14754373630515</v>
      </c>
      <c r="L75" s="210">
        <f t="shared" si="24"/>
        <v>123.03887032244418</v>
      </c>
      <c r="M75" s="207">
        <f t="shared" si="7"/>
        <v>3.922540830918722</v>
      </c>
      <c r="N75" s="208">
        <f t="shared" si="8"/>
        <v>126.9614111533629</v>
      </c>
      <c r="O75" s="207">
        <f t="shared" si="9"/>
        <v>0</v>
      </c>
      <c r="P75" s="207">
        <f t="shared" si="10"/>
        <v>0</v>
      </c>
      <c r="Q75" s="207">
        <v>0</v>
      </c>
      <c r="R75" s="208">
        <f t="shared" si="11"/>
        <v>126.9614111533629</v>
      </c>
    </row>
    <row r="76" spans="1:18" x14ac:dyDescent="0.2">
      <c r="A76" s="162">
        <v>9</v>
      </c>
      <c r="B76" s="199">
        <f t="shared" si="4"/>
        <v>44440</v>
      </c>
      <c r="C76" s="222">
        <f t="shared" si="23"/>
        <v>44474</v>
      </c>
      <c r="D76" s="222">
        <f t="shared" si="23"/>
        <v>44494</v>
      </c>
      <c r="E76" s="209" t="s">
        <v>86</v>
      </c>
      <c r="F76" s="162">
        <v>9</v>
      </c>
      <c r="G76" s="202">
        <v>49</v>
      </c>
      <c r="H76" s="203">
        <f t="shared" si="5"/>
        <v>3.7029508747261031</v>
      </c>
      <c r="I76" s="203">
        <f t="shared" si="22"/>
        <v>6.1637282811749872</v>
      </c>
      <c r="J76" s="204">
        <f t="shared" si="2"/>
        <v>302.0226857775744</v>
      </c>
      <c r="K76" s="211">
        <f t="shared" si="13"/>
        <v>181.44459286157905</v>
      </c>
      <c r="L76" s="210">
        <f t="shared" si="24"/>
        <v>120.57809291599534</v>
      </c>
      <c r="M76" s="207">
        <f t="shared" si="7"/>
        <v>3.8440900143003476</v>
      </c>
      <c r="N76" s="208">
        <f t="shared" si="8"/>
        <v>124.42218293029569</v>
      </c>
      <c r="O76" s="207">
        <f t="shared" si="9"/>
        <v>0</v>
      </c>
      <c r="P76" s="207">
        <f t="shared" si="10"/>
        <v>0</v>
      </c>
      <c r="Q76" s="207">
        <v>0</v>
      </c>
      <c r="R76" s="208">
        <f t="shared" si="11"/>
        <v>124.42218293029569</v>
      </c>
    </row>
    <row r="77" spans="1:18" x14ac:dyDescent="0.2">
      <c r="A77" s="125">
        <v>10</v>
      </c>
      <c r="B77" s="199">
        <f t="shared" si="4"/>
        <v>44470</v>
      </c>
      <c r="C77" s="222">
        <f t="shared" si="23"/>
        <v>44503</v>
      </c>
      <c r="D77" s="222">
        <f t="shared" si="23"/>
        <v>44524</v>
      </c>
      <c r="E77" s="209" t="s">
        <v>86</v>
      </c>
      <c r="F77" s="162">
        <v>9</v>
      </c>
      <c r="G77" s="202">
        <v>38</v>
      </c>
      <c r="H77" s="203">
        <f t="shared" si="5"/>
        <v>3.7029508747261031</v>
      </c>
      <c r="I77" s="203">
        <f t="shared" si="22"/>
        <v>6.1637282811749872</v>
      </c>
      <c r="J77" s="204">
        <f t="shared" si="2"/>
        <v>234.22167468464951</v>
      </c>
      <c r="K77" s="211">
        <f t="shared" si="13"/>
        <v>140.71213323959191</v>
      </c>
      <c r="L77" s="210">
        <f t="shared" si="24"/>
        <v>93.509541445057607</v>
      </c>
      <c r="M77" s="207">
        <f t="shared" si="7"/>
        <v>2.9811310314982284</v>
      </c>
      <c r="N77" s="208">
        <f t="shared" si="8"/>
        <v>96.490672476555829</v>
      </c>
      <c r="O77" s="207">
        <f t="shared" si="9"/>
        <v>0</v>
      </c>
      <c r="P77" s="207">
        <f t="shared" si="10"/>
        <v>0</v>
      </c>
      <c r="Q77" s="207">
        <v>0</v>
      </c>
      <c r="R77" s="208">
        <f t="shared" si="11"/>
        <v>96.490672476555829</v>
      </c>
    </row>
    <row r="78" spans="1:18" x14ac:dyDescent="0.2">
      <c r="A78" s="162">
        <v>11</v>
      </c>
      <c r="B78" s="199">
        <f t="shared" si="4"/>
        <v>44501</v>
      </c>
      <c r="C78" s="222">
        <f t="shared" si="23"/>
        <v>44533</v>
      </c>
      <c r="D78" s="222">
        <f t="shared" si="23"/>
        <v>44557</v>
      </c>
      <c r="E78" s="209" t="s">
        <v>86</v>
      </c>
      <c r="F78" s="162">
        <v>9</v>
      </c>
      <c r="G78" s="202">
        <v>32</v>
      </c>
      <c r="H78" s="203">
        <f t="shared" si="5"/>
        <v>3.7029508747261031</v>
      </c>
      <c r="I78" s="203">
        <f t="shared" si="22"/>
        <v>6.1637282811749872</v>
      </c>
      <c r="J78" s="204">
        <f t="shared" si="2"/>
        <v>197.23930499759959</v>
      </c>
      <c r="K78" s="211">
        <f>+$G78*H78</f>
        <v>118.4944279912353</v>
      </c>
      <c r="L78" s="210">
        <f t="shared" si="24"/>
        <v>78.744877006364291</v>
      </c>
      <c r="M78" s="207">
        <f t="shared" si="7"/>
        <v>2.5104261317879817</v>
      </c>
      <c r="N78" s="208">
        <f t="shared" si="8"/>
        <v>81.255303138152271</v>
      </c>
      <c r="O78" s="207">
        <f t="shared" si="9"/>
        <v>0</v>
      </c>
      <c r="P78" s="207">
        <f t="shared" si="10"/>
        <v>0</v>
      </c>
      <c r="Q78" s="207">
        <v>0</v>
      </c>
      <c r="R78" s="208">
        <f t="shared" si="11"/>
        <v>81.255303138152271</v>
      </c>
    </row>
    <row r="79" spans="1:18" s="226" customFormat="1" x14ac:dyDescent="0.2">
      <c r="A79" s="162">
        <v>12</v>
      </c>
      <c r="B79" s="224">
        <f t="shared" si="4"/>
        <v>44531</v>
      </c>
      <c r="C79" s="227">
        <f t="shared" si="23"/>
        <v>44566</v>
      </c>
      <c r="D79" s="227">
        <f t="shared" si="23"/>
        <v>44585</v>
      </c>
      <c r="E79" s="228" t="s">
        <v>86</v>
      </c>
      <c r="F79" s="173">
        <v>9</v>
      </c>
      <c r="G79" s="202">
        <v>31</v>
      </c>
      <c r="H79" s="214">
        <f t="shared" si="5"/>
        <v>3.7029508747261031</v>
      </c>
      <c r="I79" s="214">
        <f t="shared" si="22"/>
        <v>6.1637282811749872</v>
      </c>
      <c r="J79" s="215">
        <f t="shared" si="2"/>
        <v>191.07557671642459</v>
      </c>
      <c r="K79" s="216">
        <f>+$G79*H79</f>
        <v>114.7914771165092</v>
      </c>
      <c r="L79" s="217">
        <f t="shared" si="24"/>
        <v>76.284099599915393</v>
      </c>
      <c r="M79" s="207">
        <f t="shared" si="7"/>
        <v>2.4319753151696073</v>
      </c>
      <c r="N79" s="208">
        <f t="shared" si="8"/>
        <v>78.716074915085002</v>
      </c>
      <c r="O79" s="207">
        <f t="shared" si="9"/>
        <v>0</v>
      </c>
      <c r="P79" s="207">
        <f t="shared" si="10"/>
        <v>0</v>
      </c>
      <c r="Q79" s="207">
        <v>0</v>
      </c>
      <c r="R79" s="208">
        <f t="shared" si="11"/>
        <v>78.716074915085002</v>
      </c>
    </row>
    <row r="80" spans="1:18" s="52" customFormat="1" ht="12.75" customHeight="1" x14ac:dyDescent="0.2">
      <c r="A80" s="125">
        <v>1</v>
      </c>
      <c r="B80" s="199">
        <f t="shared" si="4"/>
        <v>44197</v>
      </c>
      <c r="C80" s="219">
        <f t="shared" ref="C80:D91" si="25">+C56</f>
        <v>44230</v>
      </c>
      <c r="D80" s="219">
        <f t="shared" si="25"/>
        <v>44251</v>
      </c>
      <c r="E80" s="201" t="s">
        <v>9</v>
      </c>
      <c r="F80" s="125">
        <v>9</v>
      </c>
      <c r="G80" s="202">
        <v>43</v>
      </c>
      <c r="H80" s="203">
        <f t="shared" si="5"/>
        <v>3.7029508747261031</v>
      </c>
      <c r="I80" s="203">
        <f t="shared" si="22"/>
        <v>6.1637282811749872</v>
      </c>
      <c r="J80" s="204">
        <f t="shared" si="2"/>
        <v>265.04031609052447</v>
      </c>
      <c r="K80" s="205">
        <f t="shared" si="13"/>
        <v>159.22688761322243</v>
      </c>
      <c r="L80" s="206">
        <f t="shared" si="21"/>
        <v>105.81342847730204</v>
      </c>
      <c r="M80" s="207">
        <f t="shared" si="7"/>
        <v>3.3733851145901004</v>
      </c>
      <c r="N80" s="208">
        <f t="shared" si="8"/>
        <v>109.18681359189215</v>
      </c>
      <c r="O80" s="207">
        <f t="shared" si="9"/>
        <v>0</v>
      </c>
      <c r="P80" s="207">
        <f t="shared" si="10"/>
        <v>0</v>
      </c>
      <c r="Q80" s="207">
        <v>0</v>
      </c>
      <c r="R80" s="208">
        <f t="shared" si="11"/>
        <v>109.18681359189215</v>
      </c>
    </row>
    <row r="81" spans="1:18" x14ac:dyDescent="0.2">
      <c r="A81" s="162">
        <v>2</v>
      </c>
      <c r="B81" s="199">
        <f t="shared" si="4"/>
        <v>44228</v>
      </c>
      <c r="C81" s="222">
        <f t="shared" si="25"/>
        <v>44258</v>
      </c>
      <c r="D81" s="222">
        <f t="shared" si="25"/>
        <v>44279</v>
      </c>
      <c r="E81" s="209" t="s">
        <v>9</v>
      </c>
      <c r="F81" s="162">
        <v>9</v>
      </c>
      <c r="G81" s="202">
        <v>48</v>
      </c>
      <c r="H81" s="203">
        <f t="shared" si="5"/>
        <v>3.7029508747261031</v>
      </c>
      <c r="I81" s="203">
        <f t="shared" si="22"/>
        <v>6.1637282811749872</v>
      </c>
      <c r="J81" s="204">
        <f t="shared" si="2"/>
        <v>295.8589574963994</v>
      </c>
      <c r="K81" s="205">
        <f t="shared" si="13"/>
        <v>177.74164198685295</v>
      </c>
      <c r="L81" s="206">
        <f t="shared" si="21"/>
        <v>118.11731550954644</v>
      </c>
      <c r="M81" s="207">
        <f t="shared" si="7"/>
        <v>3.7656391976819727</v>
      </c>
      <c r="N81" s="208">
        <f t="shared" si="8"/>
        <v>121.88295470722842</v>
      </c>
      <c r="O81" s="207">
        <f t="shared" si="9"/>
        <v>0</v>
      </c>
      <c r="P81" s="207">
        <f t="shared" si="10"/>
        <v>0</v>
      </c>
      <c r="Q81" s="207">
        <v>0</v>
      </c>
      <c r="R81" s="208">
        <f t="shared" si="11"/>
        <v>121.88295470722842</v>
      </c>
    </row>
    <row r="82" spans="1:18" x14ac:dyDescent="0.2">
      <c r="A82" s="162">
        <v>3</v>
      </c>
      <c r="B82" s="199">
        <f t="shared" si="4"/>
        <v>44256</v>
      </c>
      <c r="C82" s="222">
        <f t="shared" si="25"/>
        <v>44291</v>
      </c>
      <c r="D82" s="222">
        <f t="shared" si="25"/>
        <v>44312</v>
      </c>
      <c r="E82" s="209" t="s">
        <v>9</v>
      </c>
      <c r="F82" s="162">
        <v>9</v>
      </c>
      <c r="G82" s="202">
        <v>35</v>
      </c>
      <c r="H82" s="203">
        <f t="shared" si="5"/>
        <v>3.7029508747261031</v>
      </c>
      <c r="I82" s="203">
        <f t="shared" si="22"/>
        <v>6.1637282811749872</v>
      </c>
      <c r="J82" s="204">
        <f t="shared" si="2"/>
        <v>215.73048984112455</v>
      </c>
      <c r="K82" s="205">
        <f t="shared" si="13"/>
        <v>129.60328061541361</v>
      </c>
      <c r="L82" s="206">
        <f>+J82-K82</f>
        <v>86.127209225710942</v>
      </c>
      <c r="M82" s="207">
        <f t="shared" si="7"/>
        <v>2.7457785816431053</v>
      </c>
      <c r="N82" s="208">
        <f t="shared" si="8"/>
        <v>88.87298780735405</v>
      </c>
      <c r="O82" s="207">
        <f t="shared" si="9"/>
        <v>0</v>
      </c>
      <c r="P82" s="207">
        <f t="shared" si="10"/>
        <v>0</v>
      </c>
      <c r="Q82" s="207">
        <v>0</v>
      </c>
      <c r="R82" s="208">
        <f t="shared" si="11"/>
        <v>88.87298780735405</v>
      </c>
    </row>
    <row r="83" spans="1:18" ht="12" customHeight="1" x14ac:dyDescent="0.2">
      <c r="A83" s="125">
        <v>4</v>
      </c>
      <c r="B83" s="199">
        <f t="shared" si="4"/>
        <v>44287</v>
      </c>
      <c r="C83" s="222">
        <f t="shared" si="25"/>
        <v>44321</v>
      </c>
      <c r="D83" s="222">
        <f t="shared" si="25"/>
        <v>44340</v>
      </c>
      <c r="E83" s="54" t="s">
        <v>9</v>
      </c>
      <c r="F83" s="162">
        <v>9</v>
      </c>
      <c r="G83" s="202">
        <v>29</v>
      </c>
      <c r="H83" s="203">
        <f t="shared" si="5"/>
        <v>3.7029508747261031</v>
      </c>
      <c r="I83" s="203">
        <f t="shared" si="22"/>
        <v>6.1637282811749872</v>
      </c>
      <c r="J83" s="204">
        <f t="shared" si="2"/>
        <v>178.74812015407463</v>
      </c>
      <c r="K83" s="205">
        <f t="shared" si="13"/>
        <v>107.38557536705699</v>
      </c>
      <c r="L83" s="206">
        <f t="shared" ref="L83:L93" si="26">+J83-K83</f>
        <v>71.36254478701764</v>
      </c>
      <c r="M83" s="207">
        <f t="shared" si="7"/>
        <v>2.2750736819328585</v>
      </c>
      <c r="N83" s="208">
        <f t="shared" si="8"/>
        <v>73.637618468950492</v>
      </c>
      <c r="O83" s="207">
        <f t="shared" si="9"/>
        <v>0</v>
      </c>
      <c r="P83" s="207">
        <f t="shared" si="10"/>
        <v>0</v>
      </c>
      <c r="Q83" s="207">
        <v>0</v>
      </c>
      <c r="R83" s="208">
        <f t="shared" si="11"/>
        <v>73.637618468950492</v>
      </c>
    </row>
    <row r="84" spans="1:18" ht="12" customHeight="1" x14ac:dyDescent="0.2">
      <c r="A84" s="162">
        <v>5</v>
      </c>
      <c r="B84" s="199">
        <f t="shared" si="4"/>
        <v>44317</v>
      </c>
      <c r="C84" s="222">
        <f t="shared" si="25"/>
        <v>44350</v>
      </c>
      <c r="D84" s="222">
        <f t="shared" si="25"/>
        <v>44371</v>
      </c>
      <c r="E84" s="54" t="s">
        <v>9</v>
      </c>
      <c r="F84" s="162">
        <v>9</v>
      </c>
      <c r="G84" s="202">
        <v>34</v>
      </c>
      <c r="H84" s="203">
        <f t="shared" si="5"/>
        <v>3.7029508747261031</v>
      </c>
      <c r="I84" s="203">
        <f t="shared" si="22"/>
        <v>6.1637282811749872</v>
      </c>
      <c r="J84" s="204">
        <f t="shared" si="2"/>
        <v>209.56676155994955</v>
      </c>
      <c r="K84" s="205">
        <f t="shared" si="13"/>
        <v>125.90032974068751</v>
      </c>
      <c r="L84" s="206">
        <f t="shared" si="26"/>
        <v>83.666431819262044</v>
      </c>
      <c r="M84" s="207">
        <f t="shared" si="7"/>
        <v>2.6673277650247309</v>
      </c>
      <c r="N84" s="208">
        <f t="shared" si="8"/>
        <v>86.333759584286781</v>
      </c>
      <c r="O84" s="207">
        <f t="shared" si="9"/>
        <v>0</v>
      </c>
      <c r="P84" s="207">
        <f t="shared" si="10"/>
        <v>0</v>
      </c>
      <c r="Q84" s="207">
        <v>0</v>
      </c>
      <c r="R84" s="208">
        <f t="shared" si="11"/>
        <v>86.333759584286781</v>
      </c>
    </row>
    <row r="85" spans="1:18" x14ac:dyDescent="0.2">
      <c r="A85" s="162">
        <v>6</v>
      </c>
      <c r="B85" s="199">
        <f t="shared" si="4"/>
        <v>44348</v>
      </c>
      <c r="C85" s="222">
        <f t="shared" si="25"/>
        <v>44383</v>
      </c>
      <c r="D85" s="222">
        <f t="shared" si="25"/>
        <v>44401</v>
      </c>
      <c r="E85" s="54" t="s">
        <v>9</v>
      </c>
      <c r="F85" s="162">
        <v>9</v>
      </c>
      <c r="G85" s="202">
        <v>45</v>
      </c>
      <c r="H85" s="203">
        <f t="shared" ref="H85:H148" si="27">+$K$3</f>
        <v>3.7029508747261031</v>
      </c>
      <c r="I85" s="203">
        <f t="shared" si="22"/>
        <v>6.1637282811749872</v>
      </c>
      <c r="J85" s="204">
        <f t="shared" si="2"/>
        <v>277.36777265287441</v>
      </c>
      <c r="K85" s="205">
        <f t="shared" si="13"/>
        <v>166.63278936267463</v>
      </c>
      <c r="L85" s="210">
        <f t="shared" si="26"/>
        <v>110.73498329019978</v>
      </c>
      <c r="M85" s="207">
        <f t="shared" ref="M85:M148" si="28">G85/$G$212*$M$14</f>
        <v>3.5302867478268496</v>
      </c>
      <c r="N85" s="208">
        <f t="shared" ref="N85:N148" si="29">SUM(L85:M85)</f>
        <v>114.26527003802663</v>
      </c>
      <c r="O85" s="207">
        <f t="shared" ref="O85:O148" si="30">+$P$3</f>
        <v>0</v>
      </c>
      <c r="P85" s="207">
        <f t="shared" ref="P85:P148" si="31">+G85*O85</f>
        <v>0</v>
      </c>
      <c r="Q85" s="207">
        <v>0</v>
      </c>
      <c r="R85" s="208">
        <f t="shared" ref="R85:R148" si="32">+N85-Q85</f>
        <v>114.26527003802663</v>
      </c>
    </row>
    <row r="86" spans="1:18" x14ac:dyDescent="0.2">
      <c r="A86" s="125">
        <v>7</v>
      </c>
      <c r="B86" s="199">
        <f t="shared" si="4"/>
        <v>44378</v>
      </c>
      <c r="C86" s="222">
        <f t="shared" si="25"/>
        <v>44412</v>
      </c>
      <c r="D86" s="222">
        <f t="shared" si="25"/>
        <v>44432</v>
      </c>
      <c r="E86" s="54" t="s">
        <v>9</v>
      </c>
      <c r="F86" s="162">
        <v>9</v>
      </c>
      <c r="G86" s="202">
        <v>48</v>
      </c>
      <c r="H86" s="203">
        <f t="shared" si="27"/>
        <v>3.7029508747261031</v>
      </c>
      <c r="I86" s="203">
        <f t="shared" si="22"/>
        <v>6.1637282811749872</v>
      </c>
      <c r="J86" s="204">
        <f t="shared" si="2"/>
        <v>295.8589574963994</v>
      </c>
      <c r="K86" s="211">
        <f t="shared" si="13"/>
        <v>177.74164198685295</v>
      </c>
      <c r="L86" s="210">
        <f t="shared" si="26"/>
        <v>118.11731550954644</v>
      </c>
      <c r="M86" s="207">
        <f t="shared" si="28"/>
        <v>3.7656391976819727</v>
      </c>
      <c r="N86" s="208">
        <f t="shared" si="29"/>
        <v>121.88295470722842</v>
      </c>
      <c r="O86" s="207">
        <f t="shared" si="30"/>
        <v>0</v>
      </c>
      <c r="P86" s="207">
        <f t="shared" si="31"/>
        <v>0</v>
      </c>
      <c r="Q86" s="207">
        <v>0</v>
      </c>
      <c r="R86" s="208">
        <f t="shared" si="32"/>
        <v>121.88295470722842</v>
      </c>
    </row>
    <row r="87" spans="1:18" x14ac:dyDescent="0.2">
      <c r="A87" s="162">
        <v>8</v>
      </c>
      <c r="B87" s="199">
        <f t="shared" si="4"/>
        <v>44409</v>
      </c>
      <c r="C87" s="222">
        <f t="shared" si="25"/>
        <v>44442</v>
      </c>
      <c r="D87" s="222">
        <f t="shared" si="25"/>
        <v>44463</v>
      </c>
      <c r="E87" s="54" t="s">
        <v>9</v>
      </c>
      <c r="F87" s="162">
        <v>9</v>
      </c>
      <c r="G87" s="202">
        <v>46</v>
      </c>
      <c r="H87" s="203">
        <f t="shared" si="27"/>
        <v>3.7029508747261031</v>
      </c>
      <c r="I87" s="203">
        <f t="shared" si="22"/>
        <v>6.1637282811749872</v>
      </c>
      <c r="J87" s="204">
        <f t="shared" si="2"/>
        <v>283.5315009340494</v>
      </c>
      <c r="K87" s="211">
        <f t="shared" si="13"/>
        <v>170.33574023740073</v>
      </c>
      <c r="L87" s="210">
        <f t="shared" si="26"/>
        <v>113.19576069664868</v>
      </c>
      <c r="M87" s="207">
        <f t="shared" si="28"/>
        <v>3.608737564445224</v>
      </c>
      <c r="N87" s="208">
        <f t="shared" si="29"/>
        <v>116.8044982610939</v>
      </c>
      <c r="O87" s="207">
        <f t="shared" si="30"/>
        <v>0</v>
      </c>
      <c r="P87" s="207">
        <f t="shared" si="31"/>
        <v>0</v>
      </c>
      <c r="Q87" s="207">
        <v>0</v>
      </c>
      <c r="R87" s="208">
        <f t="shared" si="32"/>
        <v>116.8044982610939</v>
      </c>
    </row>
    <row r="88" spans="1:18" x14ac:dyDescent="0.2">
      <c r="A88" s="162">
        <v>9</v>
      </c>
      <c r="B88" s="199">
        <f t="shared" si="4"/>
        <v>44440</v>
      </c>
      <c r="C88" s="222">
        <f t="shared" si="25"/>
        <v>44474</v>
      </c>
      <c r="D88" s="222">
        <f t="shared" si="25"/>
        <v>44494</v>
      </c>
      <c r="E88" s="54" t="s">
        <v>9</v>
      </c>
      <c r="F88" s="162">
        <v>9</v>
      </c>
      <c r="G88" s="202">
        <v>46</v>
      </c>
      <c r="H88" s="203">
        <f t="shared" si="27"/>
        <v>3.7029508747261031</v>
      </c>
      <c r="I88" s="203">
        <f t="shared" si="22"/>
        <v>6.1637282811749872</v>
      </c>
      <c r="J88" s="204">
        <f t="shared" si="2"/>
        <v>283.5315009340494</v>
      </c>
      <c r="K88" s="211">
        <f t="shared" si="13"/>
        <v>170.33574023740073</v>
      </c>
      <c r="L88" s="210">
        <f t="shared" si="26"/>
        <v>113.19576069664868</v>
      </c>
      <c r="M88" s="207">
        <f t="shared" si="28"/>
        <v>3.608737564445224</v>
      </c>
      <c r="N88" s="208">
        <f t="shared" si="29"/>
        <v>116.8044982610939</v>
      </c>
      <c r="O88" s="207">
        <f t="shared" si="30"/>
        <v>0</v>
      </c>
      <c r="P88" s="207">
        <f t="shared" si="31"/>
        <v>0</v>
      </c>
      <c r="Q88" s="207">
        <v>0</v>
      </c>
      <c r="R88" s="208">
        <f t="shared" si="32"/>
        <v>116.8044982610939</v>
      </c>
    </row>
    <row r="89" spans="1:18" x14ac:dyDescent="0.2">
      <c r="A89" s="125">
        <v>10</v>
      </c>
      <c r="B89" s="199">
        <f t="shared" si="4"/>
        <v>44470</v>
      </c>
      <c r="C89" s="222">
        <f t="shared" si="25"/>
        <v>44503</v>
      </c>
      <c r="D89" s="222">
        <f t="shared" si="25"/>
        <v>44524</v>
      </c>
      <c r="E89" s="54" t="s">
        <v>9</v>
      </c>
      <c r="F89" s="162">
        <v>9</v>
      </c>
      <c r="G89" s="202">
        <v>41</v>
      </c>
      <c r="H89" s="203">
        <f t="shared" si="27"/>
        <v>3.7029508747261031</v>
      </c>
      <c r="I89" s="203">
        <f t="shared" si="22"/>
        <v>6.1637282811749872</v>
      </c>
      <c r="J89" s="204">
        <f t="shared" si="2"/>
        <v>252.71285952817448</v>
      </c>
      <c r="K89" s="211">
        <f t="shared" si="13"/>
        <v>151.82098586377023</v>
      </c>
      <c r="L89" s="210">
        <f t="shared" si="26"/>
        <v>100.89187366440424</v>
      </c>
      <c r="M89" s="207">
        <f t="shared" si="28"/>
        <v>3.2164834813533516</v>
      </c>
      <c r="N89" s="208">
        <f t="shared" si="29"/>
        <v>104.10835714575759</v>
      </c>
      <c r="O89" s="207">
        <f t="shared" si="30"/>
        <v>0</v>
      </c>
      <c r="P89" s="207">
        <f t="shared" si="31"/>
        <v>0</v>
      </c>
      <c r="Q89" s="207">
        <v>0</v>
      </c>
      <c r="R89" s="208">
        <f t="shared" si="32"/>
        <v>104.10835714575759</v>
      </c>
    </row>
    <row r="90" spans="1:18" x14ac:dyDescent="0.2">
      <c r="A90" s="162">
        <v>11</v>
      </c>
      <c r="B90" s="199">
        <f t="shared" si="4"/>
        <v>44501</v>
      </c>
      <c r="C90" s="222">
        <f t="shared" si="25"/>
        <v>44533</v>
      </c>
      <c r="D90" s="222">
        <f t="shared" si="25"/>
        <v>44557</v>
      </c>
      <c r="E90" s="54" t="s">
        <v>9</v>
      </c>
      <c r="F90" s="162">
        <v>9</v>
      </c>
      <c r="G90" s="202">
        <v>40</v>
      </c>
      <c r="H90" s="203">
        <f t="shared" si="27"/>
        <v>3.7029508747261031</v>
      </c>
      <c r="I90" s="203">
        <f t="shared" si="22"/>
        <v>6.1637282811749872</v>
      </c>
      <c r="J90" s="204">
        <f t="shared" si="2"/>
        <v>246.54913124699948</v>
      </c>
      <c r="K90" s="211">
        <f t="shared" si="13"/>
        <v>148.11803498904413</v>
      </c>
      <c r="L90" s="210">
        <f t="shared" si="26"/>
        <v>98.431096257955346</v>
      </c>
      <c r="M90" s="207">
        <f t="shared" si="28"/>
        <v>3.1380326647349772</v>
      </c>
      <c r="N90" s="208">
        <f t="shared" si="29"/>
        <v>101.56912892269033</v>
      </c>
      <c r="O90" s="207">
        <f t="shared" si="30"/>
        <v>0</v>
      </c>
      <c r="P90" s="207">
        <f t="shared" si="31"/>
        <v>0</v>
      </c>
      <c r="Q90" s="207">
        <v>0</v>
      </c>
      <c r="R90" s="208">
        <f t="shared" si="32"/>
        <v>101.56912892269033</v>
      </c>
    </row>
    <row r="91" spans="1:18" s="226" customFormat="1" x14ac:dyDescent="0.2">
      <c r="A91" s="162">
        <v>12</v>
      </c>
      <c r="B91" s="224">
        <f t="shared" si="4"/>
        <v>44531</v>
      </c>
      <c r="C91" s="222">
        <f t="shared" si="25"/>
        <v>44566</v>
      </c>
      <c r="D91" s="222">
        <f t="shared" si="25"/>
        <v>44585</v>
      </c>
      <c r="E91" s="225" t="s">
        <v>9</v>
      </c>
      <c r="F91" s="173">
        <v>9</v>
      </c>
      <c r="G91" s="202">
        <v>39</v>
      </c>
      <c r="H91" s="214">
        <f t="shared" si="27"/>
        <v>3.7029508747261031</v>
      </c>
      <c r="I91" s="214">
        <f t="shared" si="22"/>
        <v>6.1637282811749872</v>
      </c>
      <c r="J91" s="215">
        <f t="shared" si="2"/>
        <v>240.38540296582451</v>
      </c>
      <c r="K91" s="216">
        <f t="shared" si="13"/>
        <v>144.41508411431801</v>
      </c>
      <c r="L91" s="217">
        <f t="shared" si="26"/>
        <v>95.970318851506505</v>
      </c>
      <c r="M91" s="207">
        <f t="shared" si="28"/>
        <v>3.0595818481166028</v>
      </c>
      <c r="N91" s="208">
        <f t="shared" si="29"/>
        <v>99.029900699623113</v>
      </c>
      <c r="O91" s="207">
        <f t="shared" si="30"/>
        <v>0</v>
      </c>
      <c r="P91" s="207">
        <f t="shared" si="31"/>
        <v>0</v>
      </c>
      <c r="Q91" s="207">
        <v>0</v>
      </c>
      <c r="R91" s="208">
        <f t="shared" si="32"/>
        <v>99.029900699623113</v>
      </c>
    </row>
    <row r="92" spans="1:18" x14ac:dyDescent="0.2">
      <c r="A92" s="125">
        <v>1</v>
      </c>
      <c r="B92" s="199">
        <f t="shared" si="4"/>
        <v>44197</v>
      </c>
      <c r="C92" s="219">
        <f t="shared" ref="C92:D95" si="33">+C80</f>
        <v>44230</v>
      </c>
      <c r="D92" s="219">
        <f t="shared" si="33"/>
        <v>44251</v>
      </c>
      <c r="E92" s="201" t="s">
        <v>8</v>
      </c>
      <c r="F92" s="125">
        <v>9</v>
      </c>
      <c r="G92" s="202">
        <v>76</v>
      </c>
      <c r="H92" s="203">
        <f t="shared" si="27"/>
        <v>3.7029508747261031</v>
      </c>
      <c r="I92" s="203">
        <f t="shared" si="22"/>
        <v>6.1637282811749872</v>
      </c>
      <c r="J92" s="204">
        <f t="shared" si="2"/>
        <v>468.44334936929903</v>
      </c>
      <c r="K92" s="205">
        <f t="shared" si="13"/>
        <v>281.42426647918381</v>
      </c>
      <c r="L92" s="206">
        <f t="shared" si="26"/>
        <v>187.01908289011521</v>
      </c>
      <c r="M92" s="207">
        <f t="shared" si="28"/>
        <v>5.9622620629964569</v>
      </c>
      <c r="N92" s="208">
        <f t="shared" si="29"/>
        <v>192.98134495311166</v>
      </c>
      <c r="O92" s="207">
        <f t="shared" si="30"/>
        <v>0</v>
      </c>
      <c r="P92" s="207">
        <f t="shared" si="31"/>
        <v>0</v>
      </c>
      <c r="Q92" s="207">
        <v>0</v>
      </c>
      <c r="R92" s="208">
        <f t="shared" si="32"/>
        <v>192.98134495311166</v>
      </c>
    </row>
    <row r="93" spans="1:18" x14ac:dyDescent="0.2">
      <c r="A93" s="162">
        <v>2</v>
      </c>
      <c r="B93" s="199">
        <f t="shared" si="4"/>
        <v>44228</v>
      </c>
      <c r="C93" s="222">
        <f t="shared" si="33"/>
        <v>44258</v>
      </c>
      <c r="D93" s="222">
        <f t="shared" si="33"/>
        <v>44279</v>
      </c>
      <c r="E93" s="209" t="s">
        <v>8</v>
      </c>
      <c r="F93" s="162">
        <v>9</v>
      </c>
      <c r="G93" s="202">
        <v>99</v>
      </c>
      <c r="H93" s="203">
        <f t="shared" si="27"/>
        <v>3.7029508747261031</v>
      </c>
      <c r="I93" s="203">
        <f t="shared" si="22"/>
        <v>6.1637282811749872</v>
      </c>
      <c r="J93" s="204">
        <f t="shared" si="2"/>
        <v>610.20909983632373</v>
      </c>
      <c r="K93" s="205">
        <f t="shared" si="13"/>
        <v>366.59213659788418</v>
      </c>
      <c r="L93" s="206">
        <f t="shared" si="26"/>
        <v>243.61696323843955</v>
      </c>
      <c r="M93" s="207">
        <f t="shared" si="28"/>
        <v>7.76663084521907</v>
      </c>
      <c r="N93" s="208">
        <f t="shared" si="29"/>
        <v>251.38359408365864</v>
      </c>
      <c r="O93" s="207">
        <f t="shared" si="30"/>
        <v>0</v>
      </c>
      <c r="P93" s="207">
        <f t="shared" si="31"/>
        <v>0</v>
      </c>
      <c r="Q93" s="207">
        <v>0</v>
      </c>
      <c r="R93" s="208">
        <f t="shared" si="32"/>
        <v>251.38359408365864</v>
      </c>
    </row>
    <row r="94" spans="1:18" x14ac:dyDescent="0.2">
      <c r="A94" s="162">
        <v>3</v>
      </c>
      <c r="B94" s="199">
        <f t="shared" si="4"/>
        <v>44256</v>
      </c>
      <c r="C94" s="222">
        <f t="shared" si="33"/>
        <v>44291</v>
      </c>
      <c r="D94" s="222">
        <f t="shared" si="33"/>
        <v>44312</v>
      </c>
      <c r="E94" s="209" t="s">
        <v>8</v>
      </c>
      <c r="F94" s="162">
        <v>9</v>
      </c>
      <c r="G94" s="202">
        <v>66</v>
      </c>
      <c r="H94" s="203">
        <f t="shared" si="27"/>
        <v>3.7029508747261031</v>
      </c>
      <c r="I94" s="203">
        <f t="shared" si="22"/>
        <v>6.1637282811749872</v>
      </c>
      <c r="J94" s="204">
        <f t="shared" si="2"/>
        <v>406.80606655754917</v>
      </c>
      <c r="K94" s="205">
        <f t="shared" ref="K94:K133" si="34">+$G94*H94</f>
        <v>244.39475773192279</v>
      </c>
      <c r="L94" s="206">
        <f>+J94-K94</f>
        <v>162.41130882562638</v>
      </c>
      <c r="M94" s="207">
        <f t="shared" si="28"/>
        <v>5.1777538968127121</v>
      </c>
      <c r="N94" s="208">
        <f t="shared" si="29"/>
        <v>167.58906272243908</v>
      </c>
      <c r="O94" s="207">
        <f t="shared" si="30"/>
        <v>0</v>
      </c>
      <c r="P94" s="207">
        <f t="shared" si="31"/>
        <v>0</v>
      </c>
      <c r="Q94" s="207">
        <v>0</v>
      </c>
      <c r="R94" s="208">
        <f t="shared" si="32"/>
        <v>167.58906272243908</v>
      </c>
    </row>
    <row r="95" spans="1:18" x14ac:dyDescent="0.2">
      <c r="A95" s="125">
        <v>4</v>
      </c>
      <c r="B95" s="199">
        <f t="shared" si="4"/>
        <v>44287</v>
      </c>
      <c r="C95" s="222">
        <f t="shared" si="33"/>
        <v>44321</v>
      </c>
      <c r="D95" s="222">
        <f t="shared" si="33"/>
        <v>44340</v>
      </c>
      <c r="E95" s="209" t="s">
        <v>8</v>
      </c>
      <c r="F95" s="162">
        <v>9</v>
      </c>
      <c r="G95" s="202">
        <v>67</v>
      </c>
      <c r="H95" s="203">
        <f t="shared" si="27"/>
        <v>3.7029508747261031</v>
      </c>
      <c r="I95" s="203">
        <f t="shared" si="22"/>
        <v>6.1637282811749872</v>
      </c>
      <c r="J95" s="204">
        <f t="shared" si="2"/>
        <v>412.96979483872411</v>
      </c>
      <c r="K95" s="205">
        <f t="shared" si="34"/>
        <v>248.09770860664889</v>
      </c>
      <c r="L95" s="206">
        <f t="shared" ref="L95:L105" si="35">+J95-K95</f>
        <v>164.87208623207522</v>
      </c>
      <c r="M95" s="207">
        <f t="shared" si="28"/>
        <v>5.256204713431087</v>
      </c>
      <c r="N95" s="208">
        <f t="shared" si="29"/>
        <v>170.12829094550631</v>
      </c>
      <c r="O95" s="207">
        <f t="shared" si="30"/>
        <v>0</v>
      </c>
      <c r="P95" s="207">
        <f t="shared" si="31"/>
        <v>0</v>
      </c>
      <c r="Q95" s="207">
        <v>0</v>
      </c>
      <c r="R95" s="208">
        <f t="shared" si="32"/>
        <v>170.12829094550631</v>
      </c>
    </row>
    <row r="96" spans="1:18" x14ac:dyDescent="0.2">
      <c r="A96" s="162">
        <v>5</v>
      </c>
      <c r="B96" s="199">
        <f t="shared" si="4"/>
        <v>44317</v>
      </c>
      <c r="C96" s="222">
        <f t="shared" ref="C96:D116" si="36">+C84</f>
        <v>44350</v>
      </c>
      <c r="D96" s="222">
        <f t="shared" si="36"/>
        <v>44371</v>
      </c>
      <c r="E96" s="54" t="s">
        <v>8</v>
      </c>
      <c r="F96" s="162">
        <v>9</v>
      </c>
      <c r="G96" s="202">
        <v>101</v>
      </c>
      <c r="H96" s="203">
        <f t="shared" si="27"/>
        <v>3.7029508747261031</v>
      </c>
      <c r="I96" s="203">
        <f t="shared" si="22"/>
        <v>6.1637282811749872</v>
      </c>
      <c r="J96" s="204">
        <f t="shared" si="2"/>
        <v>622.53655639867372</v>
      </c>
      <c r="K96" s="205">
        <f t="shared" si="34"/>
        <v>373.99803834733643</v>
      </c>
      <c r="L96" s="206">
        <f t="shared" si="35"/>
        <v>248.53851805133729</v>
      </c>
      <c r="M96" s="207">
        <f t="shared" si="28"/>
        <v>7.9235324784558188</v>
      </c>
      <c r="N96" s="208">
        <f t="shared" si="29"/>
        <v>256.46205052979309</v>
      </c>
      <c r="O96" s="207">
        <f t="shared" si="30"/>
        <v>0</v>
      </c>
      <c r="P96" s="207">
        <f t="shared" si="31"/>
        <v>0</v>
      </c>
      <c r="Q96" s="207">
        <v>0</v>
      </c>
      <c r="R96" s="208">
        <f t="shared" si="32"/>
        <v>256.46205052979309</v>
      </c>
    </row>
    <row r="97" spans="1:18" x14ac:dyDescent="0.2">
      <c r="A97" s="162">
        <v>6</v>
      </c>
      <c r="B97" s="199">
        <f t="shared" si="4"/>
        <v>44348</v>
      </c>
      <c r="C97" s="222">
        <f t="shared" si="36"/>
        <v>44383</v>
      </c>
      <c r="D97" s="222">
        <f t="shared" si="36"/>
        <v>44401</v>
      </c>
      <c r="E97" s="54" t="s">
        <v>8</v>
      </c>
      <c r="F97" s="162">
        <v>9</v>
      </c>
      <c r="G97" s="202">
        <v>141</v>
      </c>
      <c r="H97" s="203">
        <f t="shared" si="27"/>
        <v>3.7029508747261031</v>
      </c>
      <c r="I97" s="203">
        <f t="shared" si="22"/>
        <v>6.1637282811749872</v>
      </c>
      <c r="J97" s="204">
        <f t="shared" si="2"/>
        <v>869.08568764567315</v>
      </c>
      <c r="K97" s="205">
        <f t="shared" si="34"/>
        <v>522.11607333638051</v>
      </c>
      <c r="L97" s="210">
        <f t="shared" si="35"/>
        <v>346.96961430929264</v>
      </c>
      <c r="M97" s="207">
        <f t="shared" si="28"/>
        <v>11.061565143190796</v>
      </c>
      <c r="N97" s="208">
        <f t="shared" si="29"/>
        <v>358.03117945248346</v>
      </c>
      <c r="O97" s="207">
        <f t="shared" si="30"/>
        <v>0</v>
      </c>
      <c r="P97" s="207">
        <f t="shared" si="31"/>
        <v>0</v>
      </c>
      <c r="Q97" s="207">
        <v>0</v>
      </c>
      <c r="R97" s="208">
        <f t="shared" si="32"/>
        <v>358.03117945248346</v>
      </c>
    </row>
    <row r="98" spans="1:18" x14ac:dyDescent="0.2">
      <c r="A98" s="125">
        <v>7</v>
      </c>
      <c r="B98" s="199">
        <f t="shared" si="4"/>
        <v>44378</v>
      </c>
      <c r="C98" s="222">
        <f t="shared" si="36"/>
        <v>44412</v>
      </c>
      <c r="D98" s="222">
        <f t="shared" si="36"/>
        <v>44432</v>
      </c>
      <c r="E98" s="54" t="s">
        <v>8</v>
      </c>
      <c r="F98" s="162">
        <v>9</v>
      </c>
      <c r="G98" s="202">
        <v>145</v>
      </c>
      <c r="H98" s="203">
        <f t="shared" si="27"/>
        <v>3.7029508747261031</v>
      </c>
      <c r="I98" s="203">
        <f t="shared" si="22"/>
        <v>6.1637282811749872</v>
      </c>
      <c r="J98" s="204">
        <f t="shared" si="2"/>
        <v>893.74060077037313</v>
      </c>
      <c r="K98" s="211">
        <f t="shared" si="34"/>
        <v>536.92787683528491</v>
      </c>
      <c r="L98" s="210">
        <f t="shared" si="35"/>
        <v>356.81272393508823</v>
      </c>
      <c r="M98" s="207">
        <f t="shared" si="28"/>
        <v>11.375368409664294</v>
      </c>
      <c r="N98" s="208">
        <f t="shared" si="29"/>
        <v>368.18809234475253</v>
      </c>
      <c r="O98" s="207">
        <f t="shared" si="30"/>
        <v>0</v>
      </c>
      <c r="P98" s="207">
        <f t="shared" si="31"/>
        <v>0</v>
      </c>
      <c r="Q98" s="207">
        <v>0</v>
      </c>
      <c r="R98" s="208">
        <f t="shared" si="32"/>
        <v>368.18809234475253</v>
      </c>
    </row>
    <row r="99" spans="1:18" x14ac:dyDescent="0.2">
      <c r="A99" s="162">
        <v>8</v>
      </c>
      <c r="B99" s="199">
        <f t="shared" si="4"/>
        <v>44409</v>
      </c>
      <c r="C99" s="222">
        <f t="shared" si="36"/>
        <v>44442</v>
      </c>
      <c r="D99" s="222">
        <f t="shared" si="36"/>
        <v>44463</v>
      </c>
      <c r="E99" s="54" t="s">
        <v>8</v>
      </c>
      <c r="F99" s="162">
        <v>9</v>
      </c>
      <c r="G99" s="202">
        <v>149</v>
      </c>
      <c r="H99" s="203">
        <f t="shared" si="27"/>
        <v>3.7029508747261031</v>
      </c>
      <c r="I99" s="203">
        <f t="shared" si="22"/>
        <v>6.1637282811749872</v>
      </c>
      <c r="J99" s="204">
        <f t="shared" si="2"/>
        <v>918.39551389507312</v>
      </c>
      <c r="K99" s="211">
        <f t="shared" si="34"/>
        <v>551.7396803341893</v>
      </c>
      <c r="L99" s="210">
        <f t="shared" si="35"/>
        <v>366.65583356088382</v>
      </c>
      <c r="M99" s="207">
        <f t="shared" si="28"/>
        <v>11.689171676137791</v>
      </c>
      <c r="N99" s="208">
        <f t="shared" si="29"/>
        <v>378.34500523702161</v>
      </c>
      <c r="O99" s="207">
        <f t="shared" si="30"/>
        <v>0</v>
      </c>
      <c r="P99" s="207">
        <f t="shared" si="31"/>
        <v>0</v>
      </c>
      <c r="Q99" s="207">
        <v>0</v>
      </c>
      <c r="R99" s="208">
        <f t="shared" si="32"/>
        <v>378.34500523702161</v>
      </c>
    </row>
    <row r="100" spans="1:18" x14ac:dyDescent="0.2">
      <c r="A100" s="162">
        <v>9</v>
      </c>
      <c r="B100" s="199">
        <f t="shared" si="4"/>
        <v>44440</v>
      </c>
      <c r="C100" s="222">
        <f t="shared" si="36"/>
        <v>44474</v>
      </c>
      <c r="D100" s="222">
        <f t="shared" si="36"/>
        <v>44494</v>
      </c>
      <c r="E100" s="54" t="s">
        <v>8</v>
      </c>
      <c r="F100" s="162">
        <v>9</v>
      </c>
      <c r="G100" s="202">
        <v>150</v>
      </c>
      <c r="H100" s="203">
        <f t="shared" si="27"/>
        <v>3.7029508747261031</v>
      </c>
      <c r="I100" s="203">
        <f t="shared" si="22"/>
        <v>6.1637282811749872</v>
      </c>
      <c r="J100" s="204">
        <f t="shared" si="2"/>
        <v>924.55924217624806</v>
      </c>
      <c r="K100" s="211">
        <f t="shared" si="34"/>
        <v>555.44263120891549</v>
      </c>
      <c r="L100" s="210">
        <f t="shared" si="35"/>
        <v>369.11661096733258</v>
      </c>
      <c r="M100" s="207">
        <f t="shared" si="28"/>
        <v>11.767622492756166</v>
      </c>
      <c r="N100" s="208">
        <f t="shared" si="29"/>
        <v>380.88423346008875</v>
      </c>
      <c r="O100" s="207">
        <f t="shared" si="30"/>
        <v>0</v>
      </c>
      <c r="P100" s="207">
        <f t="shared" si="31"/>
        <v>0</v>
      </c>
      <c r="Q100" s="207">
        <v>0</v>
      </c>
      <c r="R100" s="208">
        <f t="shared" si="32"/>
        <v>380.88423346008875</v>
      </c>
    </row>
    <row r="101" spans="1:18" x14ac:dyDescent="0.2">
      <c r="A101" s="125">
        <v>10</v>
      </c>
      <c r="B101" s="199">
        <f t="shared" si="4"/>
        <v>44470</v>
      </c>
      <c r="C101" s="222">
        <f t="shared" si="36"/>
        <v>44503</v>
      </c>
      <c r="D101" s="222">
        <f t="shared" si="36"/>
        <v>44524</v>
      </c>
      <c r="E101" s="54" t="s">
        <v>8</v>
      </c>
      <c r="F101" s="162">
        <v>9</v>
      </c>
      <c r="G101" s="202">
        <v>114</v>
      </c>
      <c r="H101" s="203">
        <f t="shared" si="27"/>
        <v>3.7029508747261031</v>
      </c>
      <c r="I101" s="203">
        <f t="shared" si="22"/>
        <v>6.1637282811749872</v>
      </c>
      <c r="J101" s="204">
        <f t="shared" si="2"/>
        <v>702.66502405394851</v>
      </c>
      <c r="K101" s="211">
        <f t="shared" si="34"/>
        <v>422.13639971877575</v>
      </c>
      <c r="L101" s="210">
        <f t="shared" si="35"/>
        <v>280.52862433517276</v>
      </c>
      <c r="M101" s="207">
        <f t="shared" si="28"/>
        <v>8.9433930944946862</v>
      </c>
      <c r="N101" s="208">
        <f t="shared" si="29"/>
        <v>289.47201742966746</v>
      </c>
      <c r="O101" s="207">
        <f t="shared" si="30"/>
        <v>0</v>
      </c>
      <c r="P101" s="207">
        <f t="shared" si="31"/>
        <v>0</v>
      </c>
      <c r="Q101" s="207">
        <v>0</v>
      </c>
      <c r="R101" s="208">
        <f t="shared" si="32"/>
        <v>289.47201742966746</v>
      </c>
    </row>
    <row r="102" spans="1:18" x14ac:dyDescent="0.2">
      <c r="A102" s="162">
        <v>11</v>
      </c>
      <c r="B102" s="199">
        <f t="shared" si="4"/>
        <v>44501</v>
      </c>
      <c r="C102" s="222">
        <f t="shared" si="36"/>
        <v>44533</v>
      </c>
      <c r="D102" s="222">
        <f t="shared" si="36"/>
        <v>44557</v>
      </c>
      <c r="E102" s="54" t="s">
        <v>8</v>
      </c>
      <c r="F102" s="162">
        <v>9</v>
      </c>
      <c r="G102" s="202">
        <v>66</v>
      </c>
      <c r="H102" s="203">
        <f t="shared" si="27"/>
        <v>3.7029508747261031</v>
      </c>
      <c r="I102" s="203">
        <f t="shared" si="22"/>
        <v>6.1637282811749872</v>
      </c>
      <c r="J102" s="204">
        <f t="shared" si="2"/>
        <v>406.80606655754917</v>
      </c>
      <c r="K102" s="211">
        <f t="shared" si="34"/>
        <v>244.39475773192279</v>
      </c>
      <c r="L102" s="210">
        <f t="shared" si="35"/>
        <v>162.41130882562638</v>
      </c>
      <c r="M102" s="207">
        <f t="shared" si="28"/>
        <v>5.1777538968127121</v>
      </c>
      <c r="N102" s="208">
        <f t="shared" si="29"/>
        <v>167.58906272243908</v>
      </c>
      <c r="O102" s="207">
        <f t="shared" si="30"/>
        <v>0</v>
      </c>
      <c r="P102" s="207">
        <f t="shared" si="31"/>
        <v>0</v>
      </c>
      <c r="Q102" s="207">
        <v>0</v>
      </c>
      <c r="R102" s="208">
        <f t="shared" si="32"/>
        <v>167.58906272243908</v>
      </c>
    </row>
    <row r="103" spans="1:18" s="226" customFormat="1" x14ac:dyDescent="0.2">
      <c r="A103" s="162">
        <v>12</v>
      </c>
      <c r="B103" s="224">
        <f t="shared" si="4"/>
        <v>44531</v>
      </c>
      <c r="C103" s="222">
        <f t="shared" si="36"/>
        <v>44566</v>
      </c>
      <c r="D103" s="222">
        <f t="shared" si="36"/>
        <v>44585</v>
      </c>
      <c r="E103" s="225" t="s">
        <v>8</v>
      </c>
      <c r="F103" s="173">
        <v>9</v>
      </c>
      <c r="G103" s="202">
        <v>72</v>
      </c>
      <c r="H103" s="214">
        <f t="shared" si="27"/>
        <v>3.7029508747261031</v>
      </c>
      <c r="I103" s="214">
        <f t="shared" si="22"/>
        <v>6.1637282811749872</v>
      </c>
      <c r="J103" s="215">
        <f t="shared" si="2"/>
        <v>443.7884362445991</v>
      </c>
      <c r="K103" s="216">
        <f t="shared" si="34"/>
        <v>266.61246298027942</v>
      </c>
      <c r="L103" s="217">
        <f t="shared" si="35"/>
        <v>177.17597326431968</v>
      </c>
      <c r="M103" s="207">
        <f t="shared" si="28"/>
        <v>5.6484587965229593</v>
      </c>
      <c r="N103" s="208">
        <f t="shared" si="29"/>
        <v>182.82443206084264</v>
      </c>
      <c r="O103" s="207">
        <f t="shared" si="30"/>
        <v>0</v>
      </c>
      <c r="P103" s="207">
        <f t="shared" si="31"/>
        <v>0</v>
      </c>
      <c r="Q103" s="207">
        <v>0</v>
      </c>
      <c r="R103" s="208">
        <f t="shared" si="32"/>
        <v>182.82443206084264</v>
      </c>
    </row>
    <row r="104" spans="1:18" x14ac:dyDescent="0.2">
      <c r="A104" s="125">
        <v>1</v>
      </c>
      <c r="B104" s="199">
        <f t="shared" si="4"/>
        <v>44197</v>
      </c>
      <c r="C104" s="219">
        <f t="shared" si="36"/>
        <v>44230</v>
      </c>
      <c r="D104" s="219">
        <f t="shared" si="36"/>
        <v>44251</v>
      </c>
      <c r="E104" s="201" t="s">
        <v>19</v>
      </c>
      <c r="F104" s="125">
        <v>9</v>
      </c>
      <c r="G104" s="202">
        <v>37</v>
      </c>
      <c r="H104" s="203">
        <f t="shared" si="27"/>
        <v>3.7029508747261031</v>
      </c>
      <c r="I104" s="203">
        <f t="shared" si="22"/>
        <v>6.1637282811749872</v>
      </c>
      <c r="J104" s="204">
        <f t="shared" si="2"/>
        <v>228.05794640347452</v>
      </c>
      <c r="K104" s="205">
        <f t="shared" si="34"/>
        <v>137.00918236486581</v>
      </c>
      <c r="L104" s="206">
        <f t="shared" si="35"/>
        <v>91.048764038608709</v>
      </c>
      <c r="M104" s="207">
        <f t="shared" si="28"/>
        <v>2.9026802148798541</v>
      </c>
      <c r="N104" s="208">
        <f t="shared" si="29"/>
        <v>93.95144425348856</v>
      </c>
      <c r="O104" s="207">
        <f t="shared" si="30"/>
        <v>0</v>
      </c>
      <c r="P104" s="207">
        <f t="shared" si="31"/>
        <v>0</v>
      </c>
      <c r="Q104" s="207">
        <v>0</v>
      </c>
      <c r="R104" s="208">
        <f t="shared" si="32"/>
        <v>93.95144425348856</v>
      </c>
    </row>
    <row r="105" spans="1:18" x14ac:dyDescent="0.2">
      <c r="A105" s="162">
        <v>2</v>
      </c>
      <c r="B105" s="199">
        <f t="shared" si="4"/>
        <v>44228</v>
      </c>
      <c r="C105" s="222">
        <f t="shared" si="36"/>
        <v>44258</v>
      </c>
      <c r="D105" s="222">
        <f t="shared" si="36"/>
        <v>44279</v>
      </c>
      <c r="E105" s="209" t="s">
        <v>19</v>
      </c>
      <c r="F105" s="162">
        <v>9</v>
      </c>
      <c r="G105" s="202">
        <v>33</v>
      </c>
      <c r="H105" s="203">
        <f t="shared" si="27"/>
        <v>3.7029508747261031</v>
      </c>
      <c r="I105" s="203">
        <f t="shared" si="22"/>
        <v>6.1637282811749872</v>
      </c>
      <c r="J105" s="204">
        <f t="shared" si="2"/>
        <v>203.40303327877459</v>
      </c>
      <c r="K105" s="205">
        <f t="shared" si="34"/>
        <v>122.1973788659614</v>
      </c>
      <c r="L105" s="206">
        <f t="shared" si="35"/>
        <v>81.205654412813189</v>
      </c>
      <c r="M105" s="207">
        <f t="shared" si="28"/>
        <v>2.5888769484063561</v>
      </c>
      <c r="N105" s="208">
        <f t="shared" si="29"/>
        <v>83.794531361219541</v>
      </c>
      <c r="O105" s="207">
        <f t="shared" si="30"/>
        <v>0</v>
      </c>
      <c r="P105" s="207">
        <f t="shared" si="31"/>
        <v>0</v>
      </c>
      <c r="Q105" s="207">
        <v>0</v>
      </c>
      <c r="R105" s="208">
        <f t="shared" si="32"/>
        <v>83.794531361219541</v>
      </c>
    </row>
    <row r="106" spans="1:18" x14ac:dyDescent="0.2">
      <c r="A106" s="162">
        <v>3</v>
      </c>
      <c r="B106" s="199">
        <f t="shared" si="4"/>
        <v>44256</v>
      </c>
      <c r="C106" s="222">
        <f t="shared" si="36"/>
        <v>44291</v>
      </c>
      <c r="D106" s="222">
        <f t="shared" si="36"/>
        <v>44312</v>
      </c>
      <c r="E106" s="209" t="s">
        <v>19</v>
      </c>
      <c r="F106" s="162">
        <v>9</v>
      </c>
      <c r="G106" s="202">
        <v>47</v>
      </c>
      <c r="H106" s="203">
        <f t="shared" si="27"/>
        <v>3.7029508747261031</v>
      </c>
      <c r="I106" s="203">
        <f t="shared" si="22"/>
        <v>6.1637282811749872</v>
      </c>
      <c r="J106" s="204">
        <f t="shared" si="2"/>
        <v>289.6952292152244</v>
      </c>
      <c r="K106" s="205">
        <f t="shared" si="34"/>
        <v>174.03869111212686</v>
      </c>
      <c r="L106" s="206">
        <f>+J106-K106</f>
        <v>115.65653810309755</v>
      </c>
      <c r="M106" s="207">
        <f t="shared" si="28"/>
        <v>3.6871883810635984</v>
      </c>
      <c r="N106" s="208">
        <f t="shared" si="29"/>
        <v>119.34372648416114</v>
      </c>
      <c r="O106" s="207">
        <f t="shared" si="30"/>
        <v>0</v>
      </c>
      <c r="P106" s="207">
        <f t="shared" si="31"/>
        <v>0</v>
      </c>
      <c r="Q106" s="207">
        <v>0</v>
      </c>
      <c r="R106" s="208">
        <f t="shared" si="32"/>
        <v>119.34372648416114</v>
      </c>
    </row>
    <row r="107" spans="1:18" x14ac:dyDescent="0.2">
      <c r="A107" s="125">
        <v>4</v>
      </c>
      <c r="B107" s="199">
        <f t="shared" si="4"/>
        <v>44287</v>
      </c>
      <c r="C107" s="222">
        <f t="shared" si="36"/>
        <v>44321</v>
      </c>
      <c r="D107" s="222">
        <f t="shared" si="36"/>
        <v>44340</v>
      </c>
      <c r="E107" s="54" t="s">
        <v>19</v>
      </c>
      <c r="F107" s="162">
        <v>9</v>
      </c>
      <c r="G107" s="202">
        <v>39</v>
      </c>
      <c r="H107" s="203">
        <f t="shared" si="27"/>
        <v>3.7029508747261031</v>
      </c>
      <c r="I107" s="203">
        <f t="shared" si="22"/>
        <v>6.1637282811749872</v>
      </c>
      <c r="J107" s="204">
        <f t="shared" si="2"/>
        <v>240.38540296582451</v>
      </c>
      <c r="K107" s="205">
        <f t="shared" si="34"/>
        <v>144.41508411431801</v>
      </c>
      <c r="L107" s="206">
        <f t="shared" ref="L107:L115" si="37">+J107-K107</f>
        <v>95.970318851506505</v>
      </c>
      <c r="M107" s="207">
        <f t="shared" si="28"/>
        <v>3.0595818481166028</v>
      </c>
      <c r="N107" s="208">
        <f t="shared" si="29"/>
        <v>99.029900699623113</v>
      </c>
      <c r="O107" s="207">
        <f t="shared" si="30"/>
        <v>0</v>
      </c>
      <c r="P107" s="207">
        <f t="shared" si="31"/>
        <v>0</v>
      </c>
      <c r="Q107" s="207">
        <v>0</v>
      </c>
      <c r="R107" s="208">
        <f t="shared" si="32"/>
        <v>99.029900699623113</v>
      </c>
    </row>
    <row r="108" spans="1:18" x14ac:dyDescent="0.2">
      <c r="A108" s="162">
        <v>5</v>
      </c>
      <c r="B108" s="199">
        <f t="shared" si="4"/>
        <v>44317</v>
      </c>
      <c r="C108" s="222">
        <f t="shared" si="36"/>
        <v>44350</v>
      </c>
      <c r="D108" s="222">
        <f t="shared" si="36"/>
        <v>44371</v>
      </c>
      <c r="E108" s="54" t="s">
        <v>19</v>
      </c>
      <c r="F108" s="162">
        <v>9</v>
      </c>
      <c r="G108" s="202">
        <v>46</v>
      </c>
      <c r="H108" s="203">
        <f t="shared" si="27"/>
        <v>3.7029508747261031</v>
      </c>
      <c r="I108" s="203">
        <f t="shared" ref="I108:I127" si="38">$J$3</f>
        <v>6.1637282811749872</v>
      </c>
      <c r="J108" s="204">
        <f t="shared" si="2"/>
        <v>283.5315009340494</v>
      </c>
      <c r="K108" s="205">
        <f t="shared" si="34"/>
        <v>170.33574023740073</v>
      </c>
      <c r="L108" s="206">
        <f t="shared" si="37"/>
        <v>113.19576069664868</v>
      </c>
      <c r="M108" s="207">
        <f t="shared" si="28"/>
        <v>3.608737564445224</v>
      </c>
      <c r="N108" s="208">
        <f t="shared" si="29"/>
        <v>116.8044982610939</v>
      </c>
      <c r="O108" s="207">
        <f t="shared" si="30"/>
        <v>0</v>
      </c>
      <c r="P108" s="207">
        <f t="shared" si="31"/>
        <v>0</v>
      </c>
      <c r="Q108" s="207">
        <v>0</v>
      </c>
      <c r="R108" s="208">
        <f t="shared" si="32"/>
        <v>116.8044982610939</v>
      </c>
    </row>
    <row r="109" spans="1:18" x14ac:dyDescent="0.2">
      <c r="A109" s="162">
        <v>6</v>
      </c>
      <c r="B109" s="199">
        <f t="shared" ref="B109:B148" si="39">DATE($R$1,A109,1)</f>
        <v>44348</v>
      </c>
      <c r="C109" s="222">
        <f t="shared" si="36"/>
        <v>44383</v>
      </c>
      <c r="D109" s="222">
        <f t="shared" si="36"/>
        <v>44401</v>
      </c>
      <c r="E109" s="54" t="s">
        <v>19</v>
      </c>
      <c r="F109" s="162">
        <v>9</v>
      </c>
      <c r="G109" s="202">
        <v>51</v>
      </c>
      <c r="H109" s="203">
        <f t="shared" si="27"/>
        <v>3.7029508747261031</v>
      </c>
      <c r="I109" s="203">
        <f t="shared" si="38"/>
        <v>6.1637282811749872</v>
      </c>
      <c r="J109" s="204">
        <f t="shared" ref="J109:J148" si="40">+$G109*I109</f>
        <v>314.35014233992433</v>
      </c>
      <c r="K109" s="205">
        <f t="shared" si="34"/>
        <v>188.85049461103125</v>
      </c>
      <c r="L109" s="210">
        <f t="shared" si="37"/>
        <v>125.49964772889308</v>
      </c>
      <c r="M109" s="207">
        <f t="shared" si="28"/>
        <v>4.0009916475370968</v>
      </c>
      <c r="N109" s="208">
        <f t="shared" si="29"/>
        <v>129.50063937643017</v>
      </c>
      <c r="O109" s="207">
        <f t="shared" si="30"/>
        <v>0</v>
      </c>
      <c r="P109" s="207">
        <f t="shared" si="31"/>
        <v>0</v>
      </c>
      <c r="Q109" s="207">
        <v>0</v>
      </c>
      <c r="R109" s="208">
        <f t="shared" si="32"/>
        <v>129.50063937643017</v>
      </c>
    </row>
    <row r="110" spans="1:18" x14ac:dyDescent="0.2">
      <c r="A110" s="125">
        <v>7</v>
      </c>
      <c r="B110" s="199">
        <f t="shared" si="39"/>
        <v>44378</v>
      </c>
      <c r="C110" s="222">
        <f t="shared" si="36"/>
        <v>44412</v>
      </c>
      <c r="D110" s="222">
        <f t="shared" si="36"/>
        <v>44432</v>
      </c>
      <c r="E110" s="54" t="s">
        <v>19</v>
      </c>
      <c r="F110" s="162">
        <v>9</v>
      </c>
      <c r="G110" s="202">
        <v>46</v>
      </c>
      <c r="H110" s="203">
        <f t="shared" si="27"/>
        <v>3.7029508747261031</v>
      </c>
      <c r="I110" s="203">
        <f t="shared" si="38"/>
        <v>6.1637282811749872</v>
      </c>
      <c r="J110" s="204">
        <f t="shared" si="40"/>
        <v>283.5315009340494</v>
      </c>
      <c r="K110" s="211">
        <f t="shared" si="34"/>
        <v>170.33574023740073</v>
      </c>
      <c r="L110" s="210">
        <f t="shared" si="37"/>
        <v>113.19576069664868</v>
      </c>
      <c r="M110" s="207">
        <f t="shared" si="28"/>
        <v>3.608737564445224</v>
      </c>
      <c r="N110" s="208">
        <f t="shared" si="29"/>
        <v>116.8044982610939</v>
      </c>
      <c r="O110" s="207">
        <f t="shared" si="30"/>
        <v>0</v>
      </c>
      <c r="P110" s="207">
        <f t="shared" si="31"/>
        <v>0</v>
      </c>
      <c r="Q110" s="207">
        <v>0</v>
      </c>
      <c r="R110" s="208">
        <f t="shared" si="32"/>
        <v>116.8044982610939</v>
      </c>
    </row>
    <row r="111" spans="1:18" x14ac:dyDescent="0.2">
      <c r="A111" s="162">
        <v>8</v>
      </c>
      <c r="B111" s="199">
        <f t="shared" si="39"/>
        <v>44409</v>
      </c>
      <c r="C111" s="222">
        <f t="shared" si="36"/>
        <v>44442</v>
      </c>
      <c r="D111" s="222">
        <f t="shared" si="36"/>
        <v>44463</v>
      </c>
      <c r="E111" s="54" t="s">
        <v>19</v>
      </c>
      <c r="F111" s="162">
        <v>9</v>
      </c>
      <c r="G111" s="202">
        <v>50</v>
      </c>
      <c r="H111" s="203">
        <f t="shared" si="27"/>
        <v>3.7029508747261031</v>
      </c>
      <c r="I111" s="203">
        <f t="shared" si="38"/>
        <v>6.1637282811749872</v>
      </c>
      <c r="J111" s="204">
        <f t="shared" si="40"/>
        <v>308.18641405874934</v>
      </c>
      <c r="K111" s="211">
        <f t="shared" si="34"/>
        <v>185.14754373630515</v>
      </c>
      <c r="L111" s="210">
        <f t="shared" si="37"/>
        <v>123.03887032244418</v>
      </c>
      <c r="M111" s="207">
        <f t="shared" si="28"/>
        <v>3.922540830918722</v>
      </c>
      <c r="N111" s="208">
        <f t="shared" si="29"/>
        <v>126.9614111533629</v>
      </c>
      <c r="O111" s="207">
        <f t="shared" si="30"/>
        <v>0</v>
      </c>
      <c r="P111" s="207">
        <f t="shared" si="31"/>
        <v>0</v>
      </c>
      <c r="Q111" s="207">
        <v>0</v>
      </c>
      <c r="R111" s="208">
        <f t="shared" si="32"/>
        <v>126.9614111533629</v>
      </c>
    </row>
    <row r="112" spans="1:18" x14ac:dyDescent="0.2">
      <c r="A112" s="162">
        <v>9</v>
      </c>
      <c r="B112" s="199">
        <f t="shared" si="39"/>
        <v>44440</v>
      </c>
      <c r="C112" s="222">
        <f t="shared" si="36"/>
        <v>44474</v>
      </c>
      <c r="D112" s="222">
        <f t="shared" si="36"/>
        <v>44494</v>
      </c>
      <c r="E112" s="54" t="s">
        <v>19</v>
      </c>
      <c r="F112" s="162">
        <v>9</v>
      </c>
      <c r="G112" s="202">
        <v>45</v>
      </c>
      <c r="H112" s="203">
        <f t="shared" si="27"/>
        <v>3.7029508747261031</v>
      </c>
      <c r="I112" s="203">
        <f t="shared" si="38"/>
        <v>6.1637282811749872</v>
      </c>
      <c r="J112" s="204">
        <f t="shared" si="40"/>
        <v>277.36777265287441</v>
      </c>
      <c r="K112" s="211">
        <f t="shared" si="34"/>
        <v>166.63278936267463</v>
      </c>
      <c r="L112" s="210">
        <f t="shared" si="37"/>
        <v>110.73498329019978</v>
      </c>
      <c r="M112" s="207">
        <f t="shared" si="28"/>
        <v>3.5302867478268496</v>
      </c>
      <c r="N112" s="208">
        <f t="shared" si="29"/>
        <v>114.26527003802663</v>
      </c>
      <c r="O112" s="207">
        <f t="shared" si="30"/>
        <v>0</v>
      </c>
      <c r="P112" s="207">
        <f t="shared" si="31"/>
        <v>0</v>
      </c>
      <c r="Q112" s="207">
        <v>0</v>
      </c>
      <c r="R112" s="208">
        <f t="shared" si="32"/>
        <v>114.26527003802663</v>
      </c>
    </row>
    <row r="113" spans="1:18" x14ac:dyDescent="0.2">
      <c r="A113" s="125">
        <v>10</v>
      </c>
      <c r="B113" s="199">
        <f t="shared" si="39"/>
        <v>44470</v>
      </c>
      <c r="C113" s="222">
        <f t="shared" si="36"/>
        <v>44503</v>
      </c>
      <c r="D113" s="222">
        <f t="shared" si="36"/>
        <v>44524</v>
      </c>
      <c r="E113" s="54" t="s">
        <v>19</v>
      </c>
      <c r="F113" s="162">
        <v>9</v>
      </c>
      <c r="G113" s="202">
        <v>46</v>
      </c>
      <c r="H113" s="203">
        <f t="shared" si="27"/>
        <v>3.7029508747261031</v>
      </c>
      <c r="I113" s="203">
        <f t="shared" si="38"/>
        <v>6.1637282811749872</v>
      </c>
      <c r="J113" s="204">
        <f t="shared" si="40"/>
        <v>283.5315009340494</v>
      </c>
      <c r="K113" s="211">
        <f t="shared" si="34"/>
        <v>170.33574023740073</v>
      </c>
      <c r="L113" s="210">
        <f t="shared" si="37"/>
        <v>113.19576069664868</v>
      </c>
      <c r="M113" s="207">
        <f t="shared" si="28"/>
        <v>3.608737564445224</v>
      </c>
      <c r="N113" s="208">
        <f t="shared" si="29"/>
        <v>116.8044982610939</v>
      </c>
      <c r="O113" s="207">
        <f t="shared" si="30"/>
        <v>0</v>
      </c>
      <c r="P113" s="207">
        <f t="shared" si="31"/>
        <v>0</v>
      </c>
      <c r="Q113" s="207">
        <v>0</v>
      </c>
      <c r="R113" s="208">
        <f t="shared" si="32"/>
        <v>116.8044982610939</v>
      </c>
    </row>
    <row r="114" spans="1:18" x14ac:dyDescent="0.2">
      <c r="A114" s="162">
        <v>11</v>
      </c>
      <c r="B114" s="199">
        <f t="shared" si="39"/>
        <v>44501</v>
      </c>
      <c r="C114" s="222">
        <f t="shared" si="36"/>
        <v>44533</v>
      </c>
      <c r="D114" s="222">
        <f t="shared" si="36"/>
        <v>44557</v>
      </c>
      <c r="E114" s="54" t="s">
        <v>19</v>
      </c>
      <c r="F114" s="162">
        <v>9</v>
      </c>
      <c r="G114" s="202">
        <v>48</v>
      </c>
      <c r="H114" s="203">
        <f t="shared" si="27"/>
        <v>3.7029508747261031</v>
      </c>
      <c r="I114" s="203">
        <f t="shared" si="38"/>
        <v>6.1637282811749872</v>
      </c>
      <c r="J114" s="204">
        <f t="shared" si="40"/>
        <v>295.8589574963994</v>
      </c>
      <c r="K114" s="211">
        <f t="shared" si="34"/>
        <v>177.74164198685295</v>
      </c>
      <c r="L114" s="210">
        <f t="shared" si="37"/>
        <v>118.11731550954644</v>
      </c>
      <c r="M114" s="207">
        <f t="shared" si="28"/>
        <v>3.7656391976819727</v>
      </c>
      <c r="N114" s="208">
        <f t="shared" si="29"/>
        <v>121.88295470722842</v>
      </c>
      <c r="O114" s="207">
        <f t="shared" si="30"/>
        <v>0</v>
      </c>
      <c r="P114" s="207">
        <f t="shared" si="31"/>
        <v>0</v>
      </c>
      <c r="Q114" s="207">
        <v>0</v>
      </c>
      <c r="R114" s="208">
        <f t="shared" si="32"/>
        <v>121.88295470722842</v>
      </c>
    </row>
    <row r="115" spans="1:18" s="226" customFormat="1" x14ac:dyDescent="0.2">
      <c r="A115" s="162">
        <v>12</v>
      </c>
      <c r="B115" s="224">
        <f t="shared" si="39"/>
        <v>44531</v>
      </c>
      <c r="C115" s="227">
        <f t="shared" si="36"/>
        <v>44566</v>
      </c>
      <c r="D115" s="227">
        <f t="shared" si="36"/>
        <v>44585</v>
      </c>
      <c r="E115" s="225" t="s">
        <v>19</v>
      </c>
      <c r="F115" s="173">
        <v>9</v>
      </c>
      <c r="G115" s="202">
        <v>42</v>
      </c>
      <c r="H115" s="214">
        <f t="shared" si="27"/>
        <v>3.7029508747261031</v>
      </c>
      <c r="I115" s="214">
        <f t="shared" si="38"/>
        <v>6.1637282811749872</v>
      </c>
      <c r="J115" s="215">
        <f t="shared" si="40"/>
        <v>258.87658780934947</v>
      </c>
      <c r="K115" s="216">
        <f t="shared" si="34"/>
        <v>155.52393673849633</v>
      </c>
      <c r="L115" s="217">
        <f t="shared" si="37"/>
        <v>103.35265107085314</v>
      </c>
      <c r="M115" s="207">
        <f t="shared" si="28"/>
        <v>3.294934297971726</v>
      </c>
      <c r="N115" s="208">
        <f t="shared" si="29"/>
        <v>106.64758536882486</v>
      </c>
      <c r="O115" s="207">
        <f t="shared" si="30"/>
        <v>0</v>
      </c>
      <c r="P115" s="207">
        <f t="shared" si="31"/>
        <v>0</v>
      </c>
      <c r="Q115" s="207">
        <v>0</v>
      </c>
      <c r="R115" s="208">
        <f t="shared" si="32"/>
        <v>106.64758536882486</v>
      </c>
    </row>
    <row r="116" spans="1:18" x14ac:dyDescent="0.2">
      <c r="A116" s="125">
        <v>1</v>
      </c>
      <c r="B116" s="199">
        <f t="shared" si="39"/>
        <v>44197</v>
      </c>
      <c r="C116" s="222">
        <f t="shared" si="36"/>
        <v>44230</v>
      </c>
      <c r="D116" s="222">
        <f t="shared" si="36"/>
        <v>44251</v>
      </c>
      <c r="E116" s="201" t="s">
        <v>13</v>
      </c>
      <c r="F116" s="125">
        <v>9</v>
      </c>
      <c r="G116" s="202">
        <v>973</v>
      </c>
      <c r="H116" s="203">
        <f t="shared" si="27"/>
        <v>3.7029508747261031</v>
      </c>
      <c r="I116" s="203">
        <f t="shared" si="38"/>
        <v>6.1637282811749872</v>
      </c>
      <c r="J116" s="204">
        <f t="shared" si="40"/>
        <v>5997.3076175832621</v>
      </c>
      <c r="K116" s="205">
        <f t="shared" si="34"/>
        <v>3602.9712011084985</v>
      </c>
      <c r="L116" s="206">
        <f>+J116-K116</f>
        <v>2394.3364164747636</v>
      </c>
      <c r="M116" s="207">
        <f t="shared" si="28"/>
        <v>76.332644569678322</v>
      </c>
      <c r="N116" s="208">
        <f t="shared" si="29"/>
        <v>2470.6690610444421</v>
      </c>
      <c r="O116" s="207">
        <f t="shared" si="30"/>
        <v>0</v>
      </c>
      <c r="P116" s="207">
        <f t="shared" si="31"/>
        <v>0</v>
      </c>
      <c r="Q116" s="207">
        <v>0</v>
      </c>
      <c r="R116" s="208">
        <f t="shared" si="32"/>
        <v>2470.6690610444421</v>
      </c>
    </row>
    <row r="117" spans="1:18" x14ac:dyDescent="0.2">
      <c r="A117" s="162">
        <v>2</v>
      </c>
      <c r="B117" s="199">
        <f t="shared" si="39"/>
        <v>44228</v>
      </c>
      <c r="C117" s="222">
        <f t="shared" ref="C117:D139" si="41">+C105</f>
        <v>44258</v>
      </c>
      <c r="D117" s="222">
        <f t="shared" si="41"/>
        <v>44279</v>
      </c>
      <c r="E117" s="209" t="s">
        <v>13</v>
      </c>
      <c r="F117" s="162">
        <v>9</v>
      </c>
      <c r="G117" s="202">
        <v>1338</v>
      </c>
      <c r="H117" s="203">
        <f t="shared" si="27"/>
        <v>3.7029508747261031</v>
      </c>
      <c r="I117" s="203">
        <f t="shared" si="38"/>
        <v>6.1637282811749872</v>
      </c>
      <c r="J117" s="204">
        <f t="shared" si="40"/>
        <v>8247.0684402121333</v>
      </c>
      <c r="K117" s="205">
        <f t="shared" si="34"/>
        <v>4954.548270383526</v>
      </c>
      <c r="L117" s="206">
        <f>+J117-K117</f>
        <v>3292.5201698286073</v>
      </c>
      <c r="M117" s="207">
        <f t="shared" si="28"/>
        <v>104.96719263538499</v>
      </c>
      <c r="N117" s="208">
        <f t="shared" si="29"/>
        <v>3397.4873624639922</v>
      </c>
      <c r="O117" s="207">
        <f t="shared" si="30"/>
        <v>0</v>
      </c>
      <c r="P117" s="207">
        <f t="shared" si="31"/>
        <v>0</v>
      </c>
      <c r="Q117" s="207">
        <v>0</v>
      </c>
      <c r="R117" s="208">
        <f t="shared" si="32"/>
        <v>3397.4873624639922</v>
      </c>
    </row>
    <row r="118" spans="1:18" x14ac:dyDescent="0.2">
      <c r="A118" s="162">
        <v>3</v>
      </c>
      <c r="B118" s="199">
        <f t="shared" si="39"/>
        <v>44256</v>
      </c>
      <c r="C118" s="222">
        <f t="shared" si="41"/>
        <v>44291</v>
      </c>
      <c r="D118" s="222">
        <f t="shared" si="41"/>
        <v>44312</v>
      </c>
      <c r="E118" s="209" t="s">
        <v>13</v>
      </c>
      <c r="F118" s="162">
        <v>9</v>
      </c>
      <c r="G118" s="202">
        <v>790</v>
      </c>
      <c r="H118" s="203">
        <f t="shared" si="27"/>
        <v>3.7029508747261031</v>
      </c>
      <c r="I118" s="203">
        <f t="shared" si="38"/>
        <v>6.1637282811749872</v>
      </c>
      <c r="J118" s="204">
        <f t="shared" si="40"/>
        <v>4869.3453421282402</v>
      </c>
      <c r="K118" s="205">
        <f t="shared" si="34"/>
        <v>2925.3311910336215</v>
      </c>
      <c r="L118" s="206">
        <f>+J118-K118</f>
        <v>1944.0141510946187</v>
      </c>
      <c r="M118" s="207">
        <f t="shared" si="28"/>
        <v>61.976145128515803</v>
      </c>
      <c r="N118" s="208">
        <f t="shared" si="29"/>
        <v>2005.9902962231345</v>
      </c>
      <c r="O118" s="207">
        <f t="shared" si="30"/>
        <v>0</v>
      </c>
      <c r="P118" s="207">
        <f t="shared" si="31"/>
        <v>0</v>
      </c>
      <c r="Q118" s="207">
        <v>0</v>
      </c>
      <c r="R118" s="208">
        <f t="shared" si="32"/>
        <v>2005.9902962231345</v>
      </c>
    </row>
    <row r="119" spans="1:18" x14ac:dyDescent="0.2">
      <c r="A119" s="125">
        <v>4</v>
      </c>
      <c r="B119" s="199">
        <f t="shared" si="39"/>
        <v>44287</v>
      </c>
      <c r="C119" s="222">
        <f t="shared" si="41"/>
        <v>44321</v>
      </c>
      <c r="D119" s="222">
        <f t="shared" si="41"/>
        <v>44340</v>
      </c>
      <c r="E119" s="54" t="s">
        <v>13</v>
      </c>
      <c r="F119" s="162">
        <v>9</v>
      </c>
      <c r="G119" s="202">
        <v>565</v>
      </c>
      <c r="H119" s="203">
        <f t="shared" si="27"/>
        <v>3.7029508747261031</v>
      </c>
      <c r="I119" s="203">
        <f t="shared" si="38"/>
        <v>6.1637282811749872</v>
      </c>
      <c r="J119" s="204">
        <f t="shared" si="40"/>
        <v>3482.5064788638679</v>
      </c>
      <c r="K119" s="205">
        <f t="shared" si="34"/>
        <v>2092.1672442202484</v>
      </c>
      <c r="L119" s="206">
        <f t="shared" ref="L119:L127" si="42">+J119-K119</f>
        <v>1390.3392346436194</v>
      </c>
      <c r="M119" s="207">
        <f t="shared" si="28"/>
        <v>44.324711389381555</v>
      </c>
      <c r="N119" s="208">
        <f t="shared" si="29"/>
        <v>1434.6639460330009</v>
      </c>
      <c r="O119" s="207">
        <f t="shared" si="30"/>
        <v>0</v>
      </c>
      <c r="P119" s="207">
        <f t="shared" si="31"/>
        <v>0</v>
      </c>
      <c r="Q119" s="207">
        <v>0</v>
      </c>
      <c r="R119" s="208">
        <f t="shared" si="32"/>
        <v>1434.6639460330009</v>
      </c>
    </row>
    <row r="120" spans="1:18" x14ac:dyDescent="0.2">
      <c r="A120" s="162">
        <v>5</v>
      </c>
      <c r="B120" s="199">
        <f t="shared" si="39"/>
        <v>44317</v>
      </c>
      <c r="C120" s="222">
        <f t="shared" si="41"/>
        <v>44350</v>
      </c>
      <c r="D120" s="222">
        <f t="shared" si="41"/>
        <v>44371</v>
      </c>
      <c r="E120" s="54" t="s">
        <v>13</v>
      </c>
      <c r="F120" s="162">
        <v>9</v>
      </c>
      <c r="G120" s="202">
        <v>636</v>
      </c>
      <c r="H120" s="203">
        <f t="shared" si="27"/>
        <v>3.7029508747261031</v>
      </c>
      <c r="I120" s="203">
        <f t="shared" si="38"/>
        <v>6.1637282811749872</v>
      </c>
      <c r="J120" s="204">
        <f t="shared" si="40"/>
        <v>3920.1311868272919</v>
      </c>
      <c r="K120" s="205">
        <f t="shared" si="34"/>
        <v>2355.0767563258014</v>
      </c>
      <c r="L120" s="206">
        <f t="shared" si="42"/>
        <v>1565.0544305014905</v>
      </c>
      <c r="M120" s="207">
        <f t="shared" si="28"/>
        <v>49.894719369286136</v>
      </c>
      <c r="N120" s="208">
        <f t="shared" si="29"/>
        <v>1614.9491498707766</v>
      </c>
      <c r="O120" s="207">
        <f t="shared" si="30"/>
        <v>0</v>
      </c>
      <c r="P120" s="207">
        <f t="shared" si="31"/>
        <v>0</v>
      </c>
      <c r="Q120" s="207">
        <v>0</v>
      </c>
      <c r="R120" s="208">
        <f t="shared" si="32"/>
        <v>1614.9491498707766</v>
      </c>
    </row>
    <row r="121" spans="1:18" x14ac:dyDescent="0.2">
      <c r="A121" s="162">
        <v>6</v>
      </c>
      <c r="B121" s="199">
        <f t="shared" si="39"/>
        <v>44348</v>
      </c>
      <c r="C121" s="222">
        <f t="shared" si="41"/>
        <v>44383</v>
      </c>
      <c r="D121" s="222">
        <f t="shared" si="41"/>
        <v>44401</v>
      </c>
      <c r="E121" s="54" t="s">
        <v>13</v>
      </c>
      <c r="F121" s="162">
        <v>9</v>
      </c>
      <c r="G121" s="202">
        <v>845</v>
      </c>
      <c r="H121" s="203">
        <f t="shared" si="27"/>
        <v>3.7029508747261031</v>
      </c>
      <c r="I121" s="203">
        <f t="shared" si="38"/>
        <v>6.1637282811749872</v>
      </c>
      <c r="J121" s="204">
        <f t="shared" si="40"/>
        <v>5208.3503975928643</v>
      </c>
      <c r="K121" s="205">
        <f t="shared" si="34"/>
        <v>3128.9934891435569</v>
      </c>
      <c r="L121" s="210">
        <f t="shared" si="42"/>
        <v>2079.3569084493074</v>
      </c>
      <c r="M121" s="207">
        <f t="shared" si="28"/>
        <v>66.290940042526401</v>
      </c>
      <c r="N121" s="208">
        <f t="shared" si="29"/>
        <v>2145.6478484918339</v>
      </c>
      <c r="O121" s="207">
        <f t="shared" si="30"/>
        <v>0</v>
      </c>
      <c r="P121" s="207">
        <f t="shared" si="31"/>
        <v>0</v>
      </c>
      <c r="Q121" s="207">
        <v>0</v>
      </c>
      <c r="R121" s="208">
        <f t="shared" si="32"/>
        <v>2145.6478484918339</v>
      </c>
    </row>
    <row r="122" spans="1:18" x14ac:dyDescent="0.2">
      <c r="A122" s="125">
        <v>7</v>
      </c>
      <c r="B122" s="199">
        <f t="shared" si="39"/>
        <v>44378</v>
      </c>
      <c r="C122" s="222">
        <f t="shared" si="41"/>
        <v>44412</v>
      </c>
      <c r="D122" s="222">
        <f t="shared" si="41"/>
        <v>44432</v>
      </c>
      <c r="E122" s="54" t="s">
        <v>13</v>
      </c>
      <c r="F122" s="162">
        <v>9</v>
      </c>
      <c r="G122" s="202">
        <v>897</v>
      </c>
      <c r="H122" s="203">
        <f t="shared" si="27"/>
        <v>3.7029508747261031</v>
      </c>
      <c r="I122" s="203">
        <f t="shared" si="38"/>
        <v>6.1637282811749872</v>
      </c>
      <c r="J122" s="204">
        <f t="shared" si="40"/>
        <v>5528.8642682139634</v>
      </c>
      <c r="K122" s="211">
        <f t="shared" si="34"/>
        <v>3321.5469346293144</v>
      </c>
      <c r="L122" s="210">
        <f t="shared" si="42"/>
        <v>2207.3173335846491</v>
      </c>
      <c r="M122" s="207">
        <f t="shared" si="28"/>
        <v>70.370382506681864</v>
      </c>
      <c r="N122" s="208">
        <f t="shared" si="29"/>
        <v>2277.6877160913309</v>
      </c>
      <c r="O122" s="207">
        <f t="shared" si="30"/>
        <v>0</v>
      </c>
      <c r="P122" s="207">
        <f t="shared" si="31"/>
        <v>0</v>
      </c>
      <c r="Q122" s="207">
        <v>0</v>
      </c>
      <c r="R122" s="208">
        <f t="shared" si="32"/>
        <v>2277.6877160913309</v>
      </c>
    </row>
    <row r="123" spans="1:18" x14ac:dyDescent="0.2">
      <c r="A123" s="162">
        <v>8</v>
      </c>
      <c r="B123" s="199">
        <f t="shared" si="39"/>
        <v>44409</v>
      </c>
      <c r="C123" s="222">
        <f t="shared" si="41"/>
        <v>44442</v>
      </c>
      <c r="D123" s="222">
        <f t="shared" si="41"/>
        <v>44463</v>
      </c>
      <c r="E123" s="54" t="s">
        <v>13</v>
      </c>
      <c r="F123" s="162">
        <v>9</v>
      </c>
      <c r="G123" s="202">
        <v>899</v>
      </c>
      <c r="H123" s="203">
        <f t="shared" si="27"/>
        <v>3.7029508747261031</v>
      </c>
      <c r="I123" s="203">
        <f t="shared" si="38"/>
        <v>6.1637282811749872</v>
      </c>
      <c r="J123" s="204">
        <f t="shared" si="40"/>
        <v>5541.1917247763131</v>
      </c>
      <c r="K123" s="211">
        <f t="shared" si="34"/>
        <v>3328.9528363787667</v>
      </c>
      <c r="L123" s="210">
        <f t="shared" si="42"/>
        <v>2212.2388883975464</v>
      </c>
      <c r="M123" s="207">
        <f t="shared" si="28"/>
        <v>70.527284139918621</v>
      </c>
      <c r="N123" s="208">
        <f t="shared" si="29"/>
        <v>2282.7661725374651</v>
      </c>
      <c r="O123" s="207">
        <f t="shared" si="30"/>
        <v>0</v>
      </c>
      <c r="P123" s="207">
        <f t="shared" si="31"/>
        <v>0</v>
      </c>
      <c r="Q123" s="207">
        <v>0</v>
      </c>
      <c r="R123" s="208">
        <f t="shared" si="32"/>
        <v>2282.7661725374651</v>
      </c>
    </row>
    <row r="124" spans="1:18" x14ac:dyDescent="0.2">
      <c r="A124" s="162">
        <v>9</v>
      </c>
      <c r="B124" s="199">
        <f t="shared" si="39"/>
        <v>44440</v>
      </c>
      <c r="C124" s="222">
        <f t="shared" si="41"/>
        <v>44474</v>
      </c>
      <c r="D124" s="222">
        <f t="shared" si="41"/>
        <v>44494</v>
      </c>
      <c r="E124" s="54" t="s">
        <v>13</v>
      </c>
      <c r="F124" s="162">
        <v>9</v>
      </c>
      <c r="G124" s="202">
        <v>904</v>
      </c>
      <c r="H124" s="203">
        <f t="shared" si="27"/>
        <v>3.7029508747261031</v>
      </c>
      <c r="I124" s="203">
        <f t="shared" si="38"/>
        <v>6.1637282811749872</v>
      </c>
      <c r="J124" s="204">
        <f t="shared" si="40"/>
        <v>5572.0103661821886</v>
      </c>
      <c r="K124" s="211">
        <f t="shared" si="34"/>
        <v>3347.467590752397</v>
      </c>
      <c r="L124" s="210">
        <f t="shared" si="42"/>
        <v>2224.5427754297916</v>
      </c>
      <c r="M124" s="207">
        <f t="shared" si="28"/>
        <v>70.919538223010491</v>
      </c>
      <c r="N124" s="208">
        <f t="shared" si="29"/>
        <v>2295.4623136528021</v>
      </c>
      <c r="O124" s="207">
        <f t="shared" si="30"/>
        <v>0</v>
      </c>
      <c r="P124" s="207">
        <f t="shared" si="31"/>
        <v>0</v>
      </c>
      <c r="Q124" s="207">
        <v>0</v>
      </c>
      <c r="R124" s="208">
        <f t="shared" si="32"/>
        <v>2295.4623136528021</v>
      </c>
    </row>
    <row r="125" spans="1:18" x14ac:dyDescent="0.2">
      <c r="A125" s="125">
        <v>10</v>
      </c>
      <c r="B125" s="199">
        <f t="shared" si="39"/>
        <v>44470</v>
      </c>
      <c r="C125" s="222">
        <f t="shared" si="41"/>
        <v>44503</v>
      </c>
      <c r="D125" s="222">
        <f t="shared" si="41"/>
        <v>44524</v>
      </c>
      <c r="E125" s="54" t="s">
        <v>13</v>
      </c>
      <c r="F125" s="162">
        <v>9</v>
      </c>
      <c r="G125" s="202">
        <v>685</v>
      </c>
      <c r="H125" s="203">
        <f t="shared" si="27"/>
        <v>3.7029508747261031</v>
      </c>
      <c r="I125" s="203">
        <f t="shared" si="38"/>
        <v>6.1637282811749872</v>
      </c>
      <c r="J125" s="204">
        <f t="shared" si="40"/>
        <v>4222.1538726048666</v>
      </c>
      <c r="K125" s="211">
        <f t="shared" si="34"/>
        <v>2536.5213491873806</v>
      </c>
      <c r="L125" s="210">
        <f t="shared" si="42"/>
        <v>1685.632523417486</v>
      </c>
      <c r="M125" s="207">
        <f t="shared" si="28"/>
        <v>53.738809383586485</v>
      </c>
      <c r="N125" s="208">
        <f t="shared" si="29"/>
        <v>1739.3713328010724</v>
      </c>
      <c r="O125" s="207">
        <f t="shared" si="30"/>
        <v>0</v>
      </c>
      <c r="P125" s="207">
        <f t="shared" si="31"/>
        <v>0</v>
      </c>
      <c r="Q125" s="207">
        <v>0</v>
      </c>
      <c r="R125" s="208">
        <f t="shared" si="32"/>
        <v>1739.3713328010724</v>
      </c>
    </row>
    <row r="126" spans="1:18" x14ac:dyDescent="0.2">
      <c r="A126" s="162">
        <v>11</v>
      </c>
      <c r="B126" s="199">
        <f t="shared" si="39"/>
        <v>44501</v>
      </c>
      <c r="C126" s="222">
        <f t="shared" si="41"/>
        <v>44533</v>
      </c>
      <c r="D126" s="222">
        <f t="shared" si="41"/>
        <v>44557</v>
      </c>
      <c r="E126" s="54" t="s">
        <v>13</v>
      </c>
      <c r="F126" s="162">
        <v>9</v>
      </c>
      <c r="G126" s="202">
        <v>718</v>
      </c>
      <c r="H126" s="203">
        <f t="shared" si="27"/>
        <v>3.7029508747261031</v>
      </c>
      <c r="I126" s="203">
        <f t="shared" si="38"/>
        <v>6.1637282811749872</v>
      </c>
      <c r="J126" s="204">
        <f t="shared" si="40"/>
        <v>4425.5569058836409</v>
      </c>
      <c r="K126" s="211">
        <f t="shared" si="34"/>
        <v>2658.7187280533421</v>
      </c>
      <c r="L126" s="210">
        <f t="shared" si="42"/>
        <v>1766.8381778302987</v>
      </c>
      <c r="M126" s="207">
        <f t="shared" si="28"/>
        <v>56.327686331992844</v>
      </c>
      <c r="N126" s="208">
        <f t="shared" si="29"/>
        <v>1823.1658641622917</v>
      </c>
      <c r="O126" s="207">
        <f t="shared" si="30"/>
        <v>0</v>
      </c>
      <c r="P126" s="207">
        <f t="shared" si="31"/>
        <v>0</v>
      </c>
      <c r="Q126" s="207">
        <v>0</v>
      </c>
      <c r="R126" s="208">
        <f t="shared" si="32"/>
        <v>1823.1658641622917</v>
      </c>
    </row>
    <row r="127" spans="1:18" s="226" customFormat="1" x14ac:dyDescent="0.2">
      <c r="A127" s="162">
        <v>12</v>
      </c>
      <c r="B127" s="224">
        <f t="shared" si="39"/>
        <v>44531</v>
      </c>
      <c r="C127" s="227">
        <f t="shared" si="41"/>
        <v>44566</v>
      </c>
      <c r="D127" s="227">
        <f t="shared" si="41"/>
        <v>44585</v>
      </c>
      <c r="E127" s="225" t="s">
        <v>13</v>
      </c>
      <c r="F127" s="173">
        <v>9</v>
      </c>
      <c r="G127" s="202">
        <v>770</v>
      </c>
      <c r="H127" s="214">
        <f t="shared" si="27"/>
        <v>3.7029508747261031</v>
      </c>
      <c r="I127" s="214">
        <f t="shared" si="38"/>
        <v>6.1637282811749872</v>
      </c>
      <c r="J127" s="215">
        <f t="shared" si="40"/>
        <v>4746.07077650474</v>
      </c>
      <c r="K127" s="216">
        <f t="shared" si="34"/>
        <v>2851.2721735390992</v>
      </c>
      <c r="L127" s="217">
        <f t="shared" si="42"/>
        <v>1894.7986029656408</v>
      </c>
      <c r="M127" s="207">
        <f t="shared" si="28"/>
        <v>60.407128796148314</v>
      </c>
      <c r="N127" s="208">
        <f t="shared" si="29"/>
        <v>1955.2057317617891</v>
      </c>
      <c r="O127" s="207">
        <f t="shared" si="30"/>
        <v>0</v>
      </c>
      <c r="P127" s="207">
        <f t="shared" si="31"/>
        <v>0</v>
      </c>
      <c r="Q127" s="207">
        <v>0</v>
      </c>
      <c r="R127" s="208">
        <f t="shared" si="32"/>
        <v>1955.2057317617891</v>
      </c>
    </row>
    <row r="128" spans="1:18" x14ac:dyDescent="0.2">
      <c r="A128" s="125">
        <v>1</v>
      </c>
      <c r="B128" s="199">
        <f t="shared" si="39"/>
        <v>44197</v>
      </c>
      <c r="C128" s="222">
        <f t="shared" si="41"/>
        <v>44230</v>
      </c>
      <c r="D128" s="222">
        <f t="shared" si="41"/>
        <v>44251</v>
      </c>
      <c r="E128" s="201" t="s">
        <v>15</v>
      </c>
      <c r="F128" s="125">
        <v>9</v>
      </c>
      <c r="G128" s="202">
        <v>7</v>
      </c>
      <c r="H128" s="203">
        <f t="shared" si="27"/>
        <v>3.7029508747261031</v>
      </c>
      <c r="I128" s="203">
        <f t="shared" ref="I128:I147" si="43">$J$3</f>
        <v>6.1637282811749872</v>
      </c>
      <c r="J128" s="204">
        <f t="shared" si="40"/>
        <v>43.146097968224908</v>
      </c>
      <c r="K128" s="205">
        <f t="shared" si="34"/>
        <v>25.920656123082722</v>
      </c>
      <c r="L128" s="206">
        <f>+J128-K128</f>
        <v>17.225441845142186</v>
      </c>
      <c r="M128" s="207">
        <f t="shared" si="28"/>
        <v>0.54915571632862104</v>
      </c>
      <c r="N128" s="208">
        <f t="shared" si="29"/>
        <v>17.774597561470806</v>
      </c>
      <c r="O128" s="207">
        <f t="shared" si="30"/>
        <v>0</v>
      </c>
      <c r="P128" s="207">
        <f t="shared" si="31"/>
        <v>0</v>
      </c>
      <c r="Q128" s="207">
        <v>0</v>
      </c>
      <c r="R128" s="208">
        <f t="shared" si="32"/>
        <v>17.774597561470806</v>
      </c>
    </row>
    <row r="129" spans="1:18" x14ac:dyDescent="0.2">
      <c r="A129" s="162">
        <v>2</v>
      </c>
      <c r="B129" s="199">
        <f t="shared" si="39"/>
        <v>44228</v>
      </c>
      <c r="C129" s="222">
        <f t="shared" si="41"/>
        <v>44258</v>
      </c>
      <c r="D129" s="222">
        <f t="shared" si="41"/>
        <v>44279</v>
      </c>
      <c r="E129" s="209" t="s">
        <v>15</v>
      </c>
      <c r="F129" s="162">
        <v>9</v>
      </c>
      <c r="G129" s="202">
        <v>8</v>
      </c>
      <c r="H129" s="203">
        <f t="shared" si="27"/>
        <v>3.7029508747261031</v>
      </c>
      <c r="I129" s="203">
        <f t="shared" si="43"/>
        <v>6.1637282811749872</v>
      </c>
      <c r="J129" s="204">
        <f t="shared" si="40"/>
        <v>49.309826249399897</v>
      </c>
      <c r="K129" s="205">
        <f t="shared" si="34"/>
        <v>29.623606997808825</v>
      </c>
      <c r="L129" s="206">
        <f>+J129-K129</f>
        <v>19.686219251591073</v>
      </c>
      <c r="M129" s="207">
        <f t="shared" si="28"/>
        <v>0.62760653294699542</v>
      </c>
      <c r="N129" s="208">
        <f t="shared" si="29"/>
        <v>20.313825784538068</v>
      </c>
      <c r="O129" s="207">
        <f t="shared" si="30"/>
        <v>0</v>
      </c>
      <c r="P129" s="207">
        <f t="shared" si="31"/>
        <v>0</v>
      </c>
      <c r="Q129" s="207">
        <v>0</v>
      </c>
      <c r="R129" s="208">
        <f t="shared" si="32"/>
        <v>20.313825784538068</v>
      </c>
    </row>
    <row r="130" spans="1:18" x14ac:dyDescent="0.2">
      <c r="A130" s="162">
        <v>3</v>
      </c>
      <c r="B130" s="199">
        <f t="shared" si="39"/>
        <v>44256</v>
      </c>
      <c r="C130" s="222">
        <f t="shared" si="41"/>
        <v>44291</v>
      </c>
      <c r="D130" s="222">
        <f t="shared" si="41"/>
        <v>44312</v>
      </c>
      <c r="E130" s="209" t="s">
        <v>15</v>
      </c>
      <c r="F130" s="162">
        <v>9</v>
      </c>
      <c r="G130" s="202">
        <v>5</v>
      </c>
      <c r="H130" s="203">
        <f t="shared" si="27"/>
        <v>3.7029508747261031</v>
      </c>
      <c r="I130" s="203">
        <f t="shared" si="43"/>
        <v>6.1637282811749872</v>
      </c>
      <c r="J130" s="204">
        <f t="shared" si="40"/>
        <v>30.818641405874935</v>
      </c>
      <c r="K130" s="205">
        <f t="shared" si="34"/>
        <v>18.514754373630517</v>
      </c>
      <c r="L130" s="206">
        <f>+J130-K130</f>
        <v>12.303887032244418</v>
      </c>
      <c r="M130" s="207">
        <f t="shared" si="28"/>
        <v>0.39225408309187215</v>
      </c>
      <c r="N130" s="208">
        <f t="shared" si="29"/>
        <v>12.696141115336291</v>
      </c>
      <c r="O130" s="207">
        <f t="shared" si="30"/>
        <v>0</v>
      </c>
      <c r="P130" s="207">
        <f t="shared" si="31"/>
        <v>0</v>
      </c>
      <c r="Q130" s="207">
        <v>0</v>
      </c>
      <c r="R130" s="208">
        <f t="shared" si="32"/>
        <v>12.696141115336291</v>
      </c>
    </row>
    <row r="131" spans="1:18" x14ac:dyDescent="0.2">
      <c r="A131" s="125">
        <v>4</v>
      </c>
      <c r="B131" s="199">
        <f t="shared" si="39"/>
        <v>44287</v>
      </c>
      <c r="C131" s="222">
        <f t="shared" si="41"/>
        <v>44321</v>
      </c>
      <c r="D131" s="222">
        <f t="shared" si="41"/>
        <v>44340</v>
      </c>
      <c r="E131" s="209" t="s">
        <v>15</v>
      </c>
      <c r="F131" s="162">
        <v>9</v>
      </c>
      <c r="G131" s="202">
        <v>6</v>
      </c>
      <c r="H131" s="203">
        <f t="shared" si="27"/>
        <v>3.7029508747261031</v>
      </c>
      <c r="I131" s="203">
        <f t="shared" si="43"/>
        <v>6.1637282811749872</v>
      </c>
      <c r="J131" s="204">
        <f t="shared" si="40"/>
        <v>36.982369687049925</v>
      </c>
      <c r="K131" s="205">
        <f t="shared" si="34"/>
        <v>22.217705248356619</v>
      </c>
      <c r="L131" s="206">
        <f t="shared" ref="L131:L141" si="44">+J131-K131</f>
        <v>14.764664438693305</v>
      </c>
      <c r="M131" s="207">
        <f t="shared" si="28"/>
        <v>0.47070489971024659</v>
      </c>
      <c r="N131" s="208">
        <f t="shared" si="29"/>
        <v>15.235369338403553</v>
      </c>
      <c r="O131" s="207">
        <f t="shared" si="30"/>
        <v>0</v>
      </c>
      <c r="P131" s="207">
        <f t="shared" si="31"/>
        <v>0</v>
      </c>
      <c r="Q131" s="207">
        <v>0</v>
      </c>
      <c r="R131" s="208">
        <f t="shared" si="32"/>
        <v>15.235369338403553</v>
      </c>
    </row>
    <row r="132" spans="1:18" x14ac:dyDescent="0.2">
      <c r="A132" s="162">
        <v>5</v>
      </c>
      <c r="B132" s="199">
        <f t="shared" si="39"/>
        <v>44317</v>
      </c>
      <c r="C132" s="222">
        <f t="shared" si="41"/>
        <v>44350</v>
      </c>
      <c r="D132" s="222">
        <f t="shared" si="41"/>
        <v>44371</v>
      </c>
      <c r="E132" s="54" t="s">
        <v>15</v>
      </c>
      <c r="F132" s="162">
        <v>9</v>
      </c>
      <c r="G132" s="202">
        <v>4</v>
      </c>
      <c r="H132" s="203">
        <f t="shared" si="27"/>
        <v>3.7029508747261031</v>
      </c>
      <c r="I132" s="203">
        <f t="shared" si="43"/>
        <v>6.1637282811749872</v>
      </c>
      <c r="J132" s="204">
        <f t="shared" si="40"/>
        <v>24.654913124699949</v>
      </c>
      <c r="K132" s="205">
        <f t="shared" si="34"/>
        <v>14.811803498904412</v>
      </c>
      <c r="L132" s="206">
        <f t="shared" si="44"/>
        <v>9.8431096257955364</v>
      </c>
      <c r="M132" s="207">
        <f t="shared" si="28"/>
        <v>0.31380326647349771</v>
      </c>
      <c r="N132" s="208">
        <f t="shared" si="29"/>
        <v>10.156912892269034</v>
      </c>
      <c r="O132" s="207">
        <f t="shared" si="30"/>
        <v>0</v>
      </c>
      <c r="P132" s="207">
        <f t="shared" si="31"/>
        <v>0</v>
      </c>
      <c r="Q132" s="207">
        <v>0</v>
      </c>
      <c r="R132" s="208">
        <f t="shared" si="32"/>
        <v>10.156912892269034</v>
      </c>
    </row>
    <row r="133" spans="1:18" x14ac:dyDescent="0.2">
      <c r="A133" s="162">
        <v>6</v>
      </c>
      <c r="B133" s="199">
        <f t="shared" si="39"/>
        <v>44348</v>
      </c>
      <c r="C133" s="222">
        <f t="shared" si="41"/>
        <v>44383</v>
      </c>
      <c r="D133" s="222">
        <f t="shared" si="41"/>
        <v>44401</v>
      </c>
      <c r="E133" s="54" t="s">
        <v>15</v>
      </c>
      <c r="F133" s="162">
        <v>9</v>
      </c>
      <c r="G133" s="202">
        <v>13</v>
      </c>
      <c r="H133" s="203">
        <f t="shared" si="27"/>
        <v>3.7029508747261031</v>
      </c>
      <c r="I133" s="203">
        <f t="shared" si="43"/>
        <v>6.1637282811749872</v>
      </c>
      <c r="J133" s="204">
        <f t="shared" si="40"/>
        <v>80.128467655274832</v>
      </c>
      <c r="K133" s="205">
        <f t="shared" si="34"/>
        <v>48.138361371439338</v>
      </c>
      <c r="L133" s="210">
        <f t="shared" si="44"/>
        <v>31.990106283835495</v>
      </c>
      <c r="M133" s="207">
        <f t="shared" si="28"/>
        <v>1.0198606160388677</v>
      </c>
      <c r="N133" s="208">
        <f t="shared" si="29"/>
        <v>33.009966899874364</v>
      </c>
      <c r="O133" s="207">
        <f t="shared" si="30"/>
        <v>0</v>
      </c>
      <c r="P133" s="207">
        <f t="shared" si="31"/>
        <v>0</v>
      </c>
      <c r="Q133" s="207">
        <v>0</v>
      </c>
      <c r="R133" s="208">
        <f t="shared" si="32"/>
        <v>33.009966899874364</v>
      </c>
    </row>
    <row r="134" spans="1:18" x14ac:dyDescent="0.2">
      <c r="A134" s="125">
        <v>7</v>
      </c>
      <c r="B134" s="199">
        <f t="shared" si="39"/>
        <v>44378</v>
      </c>
      <c r="C134" s="222">
        <f t="shared" si="41"/>
        <v>44412</v>
      </c>
      <c r="D134" s="222">
        <f t="shared" si="41"/>
        <v>44432</v>
      </c>
      <c r="E134" s="54" t="s">
        <v>15</v>
      </c>
      <c r="F134" s="162">
        <v>9</v>
      </c>
      <c r="G134" s="202">
        <v>17</v>
      </c>
      <c r="H134" s="203">
        <f t="shared" si="27"/>
        <v>3.7029508747261031</v>
      </c>
      <c r="I134" s="203">
        <f t="shared" si="43"/>
        <v>6.1637282811749872</v>
      </c>
      <c r="J134" s="204">
        <f t="shared" si="40"/>
        <v>104.78338077997478</v>
      </c>
      <c r="K134" s="211">
        <f t="shared" ref="K134:K197" si="45">+$G134*H134</f>
        <v>62.950164870343755</v>
      </c>
      <c r="L134" s="210">
        <f t="shared" si="44"/>
        <v>41.833215909631022</v>
      </c>
      <c r="M134" s="207">
        <f t="shared" si="28"/>
        <v>1.3336638825123655</v>
      </c>
      <c r="N134" s="208">
        <f t="shared" si="29"/>
        <v>43.166879792143391</v>
      </c>
      <c r="O134" s="207">
        <f t="shared" si="30"/>
        <v>0</v>
      </c>
      <c r="P134" s="207">
        <f t="shared" si="31"/>
        <v>0</v>
      </c>
      <c r="Q134" s="207">
        <v>0</v>
      </c>
      <c r="R134" s="208">
        <f t="shared" si="32"/>
        <v>43.166879792143391</v>
      </c>
    </row>
    <row r="135" spans="1:18" x14ac:dyDescent="0.2">
      <c r="A135" s="162">
        <v>8</v>
      </c>
      <c r="B135" s="199">
        <f t="shared" si="39"/>
        <v>44409</v>
      </c>
      <c r="C135" s="222">
        <f t="shared" si="41"/>
        <v>44442</v>
      </c>
      <c r="D135" s="222">
        <f t="shared" si="41"/>
        <v>44463</v>
      </c>
      <c r="E135" s="54" t="s">
        <v>15</v>
      </c>
      <c r="F135" s="162">
        <v>9</v>
      </c>
      <c r="G135" s="202">
        <v>17</v>
      </c>
      <c r="H135" s="203">
        <f t="shared" si="27"/>
        <v>3.7029508747261031</v>
      </c>
      <c r="I135" s="203">
        <f t="shared" si="43"/>
        <v>6.1637282811749872</v>
      </c>
      <c r="J135" s="204">
        <f t="shared" si="40"/>
        <v>104.78338077997478</v>
      </c>
      <c r="K135" s="211">
        <f t="shared" si="45"/>
        <v>62.950164870343755</v>
      </c>
      <c r="L135" s="210">
        <f t="shared" si="44"/>
        <v>41.833215909631022</v>
      </c>
      <c r="M135" s="207">
        <f t="shared" si="28"/>
        <v>1.3336638825123655</v>
      </c>
      <c r="N135" s="208">
        <f t="shared" si="29"/>
        <v>43.166879792143391</v>
      </c>
      <c r="O135" s="207">
        <f t="shared" si="30"/>
        <v>0</v>
      </c>
      <c r="P135" s="207">
        <f t="shared" si="31"/>
        <v>0</v>
      </c>
      <c r="Q135" s="207">
        <v>0</v>
      </c>
      <c r="R135" s="208">
        <f t="shared" si="32"/>
        <v>43.166879792143391</v>
      </c>
    </row>
    <row r="136" spans="1:18" x14ac:dyDescent="0.2">
      <c r="A136" s="162">
        <v>9</v>
      </c>
      <c r="B136" s="199">
        <f t="shared" si="39"/>
        <v>44440</v>
      </c>
      <c r="C136" s="222">
        <f t="shared" si="41"/>
        <v>44474</v>
      </c>
      <c r="D136" s="222">
        <f t="shared" si="41"/>
        <v>44494</v>
      </c>
      <c r="E136" s="54" t="s">
        <v>15</v>
      </c>
      <c r="F136" s="162">
        <v>9</v>
      </c>
      <c r="G136" s="202">
        <v>16</v>
      </c>
      <c r="H136" s="203">
        <f t="shared" si="27"/>
        <v>3.7029508747261031</v>
      </c>
      <c r="I136" s="203">
        <f t="shared" si="43"/>
        <v>6.1637282811749872</v>
      </c>
      <c r="J136" s="204">
        <f t="shared" si="40"/>
        <v>98.619652498799795</v>
      </c>
      <c r="K136" s="211">
        <f t="shared" si="45"/>
        <v>59.247213995617649</v>
      </c>
      <c r="L136" s="210">
        <f t="shared" si="44"/>
        <v>39.372438503182146</v>
      </c>
      <c r="M136" s="207">
        <f t="shared" si="28"/>
        <v>1.2552130658939908</v>
      </c>
      <c r="N136" s="208">
        <f t="shared" si="29"/>
        <v>40.627651569076136</v>
      </c>
      <c r="O136" s="207">
        <f t="shared" si="30"/>
        <v>0</v>
      </c>
      <c r="P136" s="207">
        <f t="shared" si="31"/>
        <v>0</v>
      </c>
      <c r="Q136" s="207">
        <v>0</v>
      </c>
      <c r="R136" s="208">
        <f t="shared" si="32"/>
        <v>40.627651569076136</v>
      </c>
    </row>
    <row r="137" spans="1:18" x14ac:dyDescent="0.2">
      <c r="A137" s="125">
        <v>10</v>
      </c>
      <c r="B137" s="199">
        <f t="shared" si="39"/>
        <v>44470</v>
      </c>
      <c r="C137" s="222">
        <f t="shared" si="41"/>
        <v>44503</v>
      </c>
      <c r="D137" s="222">
        <f t="shared" si="41"/>
        <v>44524</v>
      </c>
      <c r="E137" s="54" t="s">
        <v>15</v>
      </c>
      <c r="F137" s="162">
        <v>9</v>
      </c>
      <c r="G137" s="202">
        <v>5</v>
      </c>
      <c r="H137" s="203">
        <f t="shared" si="27"/>
        <v>3.7029508747261031</v>
      </c>
      <c r="I137" s="203">
        <f t="shared" si="43"/>
        <v>6.1637282811749872</v>
      </c>
      <c r="J137" s="204">
        <f t="shared" si="40"/>
        <v>30.818641405874935</v>
      </c>
      <c r="K137" s="211">
        <f t="shared" si="45"/>
        <v>18.514754373630517</v>
      </c>
      <c r="L137" s="210">
        <f t="shared" si="44"/>
        <v>12.303887032244418</v>
      </c>
      <c r="M137" s="207">
        <f t="shared" si="28"/>
        <v>0.39225408309187215</v>
      </c>
      <c r="N137" s="208">
        <f t="shared" si="29"/>
        <v>12.696141115336291</v>
      </c>
      <c r="O137" s="207">
        <f t="shared" si="30"/>
        <v>0</v>
      </c>
      <c r="P137" s="207">
        <f t="shared" si="31"/>
        <v>0</v>
      </c>
      <c r="Q137" s="207">
        <v>0</v>
      </c>
      <c r="R137" s="208">
        <f t="shared" si="32"/>
        <v>12.696141115336291</v>
      </c>
    </row>
    <row r="138" spans="1:18" x14ac:dyDescent="0.2">
      <c r="A138" s="162">
        <v>11</v>
      </c>
      <c r="B138" s="199">
        <f t="shared" si="39"/>
        <v>44501</v>
      </c>
      <c r="C138" s="222">
        <f t="shared" si="41"/>
        <v>44533</v>
      </c>
      <c r="D138" s="222">
        <f t="shared" si="41"/>
        <v>44557</v>
      </c>
      <c r="E138" s="54" t="s">
        <v>15</v>
      </c>
      <c r="F138" s="162">
        <v>9</v>
      </c>
      <c r="G138" s="202">
        <v>5</v>
      </c>
      <c r="H138" s="203">
        <f t="shared" si="27"/>
        <v>3.7029508747261031</v>
      </c>
      <c r="I138" s="203">
        <f t="shared" si="43"/>
        <v>6.1637282811749872</v>
      </c>
      <c r="J138" s="204">
        <f t="shared" si="40"/>
        <v>30.818641405874935</v>
      </c>
      <c r="K138" s="211">
        <f t="shared" si="45"/>
        <v>18.514754373630517</v>
      </c>
      <c r="L138" s="210">
        <f t="shared" si="44"/>
        <v>12.303887032244418</v>
      </c>
      <c r="M138" s="207">
        <f t="shared" si="28"/>
        <v>0.39225408309187215</v>
      </c>
      <c r="N138" s="208">
        <f t="shared" si="29"/>
        <v>12.696141115336291</v>
      </c>
      <c r="O138" s="207">
        <f t="shared" si="30"/>
        <v>0</v>
      </c>
      <c r="P138" s="207">
        <f t="shared" si="31"/>
        <v>0</v>
      </c>
      <c r="Q138" s="207">
        <v>0</v>
      </c>
      <c r="R138" s="208">
        <f t="shared" si="32"/>
        <v>12.696141115336291</v>
      </c>
    </row>
    <row r="139" spans="1:18" s="226" customFormat="1" x14ac:dyDescent="0.2">
      <c r="A139" s="162">
        <v>12</v>
      </c>
      <c r="B139" s="224">
        <f t="shared" si="39"/>
        <v>44531</v>
      </c>
      <c r="C139" s="222">
        <f t="shared" si="41"/>
        <v>44566</v>
      </c>
      <c r="D139" s="222">
        <f t="shared" si="41"/>
        <v>44585</v>
      </c>
      <c r="E139" s="225" t="s">
        <v>15</v>
      </c>
      <c r="F139" s="173">
        <v>9</v>
      </c>
      <c r="G139" s="202">
        <v>6</v>
      </c>
      <c r="H139" s="214">
        <f t="shared" si="27"/>
        <v>3.7029508747261031</v>
      </c>
      <c r="I139" s="214">
        <f t="shared" si="43"/>
        <v>6.1637282811749872</v>
      </c>
      <c r="J139" s="215">
        <f t="shared" si="40"/>
        <v>36.982369687049925</v>
      </c>
      <c r="K139" s="216">
        <f t="shared" si="45"/>
        <v>22.217705248356619</v>
      </c>
      <c r="L139" s="217">
        <f t="shared" si="44"/>
        <v>14.764664438693305</v>
      </c>
      <c r="M139" s="207">
        <f t="shared" si="28"/>
        <v>0.47070489971024659</v>
      </c>
      <c r="N139" s="208">
        <f t="shared" si="29"/>
        <v>15.235369338403553</v>
      </c>
      <c r="O139" s="207">
        <f t="shared" si="30"/>
        <v>0</v>
      </c>
      <c r="P139" s="207">
        <f t="shared" si="31"/>
        <v>0</v>
      </c>
      <c r="Q139" s="207">
        <v>0</v>
      </c>
      <c r="R139" s="208">
        <f t="shared" si="32"/>
        <v>15.235369338403553</v>
      </c>
    </row>
    <row r="140" spans="1:18" x14ac:dyDescent="0.2">
      <c r="A140" s="125">
        <v>1</v>
      </c>
      <c r="B140" s="199">
        <f t="shared" si="39"/>
        <v>44197</v>
      </c>
      <c r="C140" s="219">
        <f t="shared" ref="C140:D151" si="46">+C128</f>
        <v>44230</v>
      </c>
      <c r="D140" s="219">
        <f t="shared" si="46"/>
        <v>44251</v>
      </c>
      <c r="E140" s="229" t="s">
        <v>16</v>
      </c>
      <c r="F140" s="162">
        <v>9</v>
      </c>
      <c r="G140" s="202">
        <v>3</v>
      </c>
      <c r="H140" s="203">
        <f t="shared" si="27"/>
        <v>3.7029508747261031</v>
      </c>
      <c r="I140" s="203">
        <f t="shared" si="43"/>
        <v>6.1637282811749872</v>
      </c>
      <c r="J140" s="204">
        <f t="shared" si="40"/>
        <v>18.491184843524962</v>
      </c>
      <c r="K140" s="205">
        <f t="shared" si="45"/>
        <v>11.10885262417831</v>
      </c>
      <c r="L140" s="206">
        <f t="shared" si="44"/>
        <v>7.3823322193466527</v>
      </c>
      <c r="M140" s="207">
        <f t="shared" si="28"/>
        <v>0.2353524498551233</v>
      </c>
      <c r="N140" s="208">
        <f t="shared" si="29"/>
        <v>7.6176846692017763</v>
      </c>
      <c r="O140" s="207">
        <f t="shared" si="30"/>
        <v>0</v>
      </c>
      <c r="P140" s="207">
        <f t="shared" si="31"/>
        <v>0</v>
      </c>
      <c r="Q140" s="207">
        <v>0</v>
      </c>
      <c r="R140" s="208">
        <f t="shared" si="32"/>
        <v>7.6176846692017763</v>
      </c>
    </row>
    <row r="141" spans="1:18" x14ac:dyDescent="0.2">
      <c r="A141" s="162">
        <v>2</v>
      </c>
      <c r="B141" s="199">
        <f t="shared" si="39"/>
        <v>44228</v>
      </c>
      <c r="C141" s="222">
        <f t="shared" si="46"/>
        <v>44258</v>
      </c>
      <c r="D141" s="222">
        <f t="shared" si="46"/>
        <v>44279</v>
      </c>
      <c r="E141" s="54" t="s">
        <v>16</v>
      </c>
      <c r="F141" s="162">
        <v>9</v>
      </c>
      <c r="G141" s="202">
        <v>5</v>
      </c>
      <c r="H141" s="203">
        <f t="shared" si="27"/>
        <v>3.7029508747261031</v>
      </c>
      <c r="I141" s="203">
        <f t="shared" si="43"/>
        <v>6.1637282811749872</v>
      </c>
      <c r="J141" s="204">
        <f t="shared" si="40"/>
        <v>30.818641405874935</v>
      </c>
      <c r="K141" s="205">
        <f t="shared" si="45"/>
        <v>18.514754373630517</v>
      </c>
      <c r="L141" s="206">
        <f t="shared" si="44"/>
        <v>12.303887032244418</v>
      </c>
      <c r="M141" s="207">
        <f t="shared" si="28"/>
        <v>0.39225408309187215</v>
      </c>
      <c r="N141" s="208">
        <f t="shared" si="29"/>
        <v>12.696141115336291</v>
      </c>
      <c r="O141" s="207">
        <f t="shared" si="30"/>
        <v>0</v>
      </c>
      <c r="P141" s="207">
        <f t="shared" si="31"/>
        <v>0</v>
      </c>
      <c r="Q141" s="207">
        <v>0</v>
      </c>
      <c r="R141" s="208">
        <f t="shared" si="32"/>
        <v>12.696141115336291</v>
      </c>
    </row>
    <row r="142" spans="1:18" x14ac:dyDescent="0.2">
      <c r="A142" s="162">
        <v>3</v>
      </c>
      <c r="B142" s="199">
        <f t="shared" si="39"/>
        <v>44256</v>
      </c>
      <c r="C142" s="222">
        <f t="shared" si="46"/>
        <v>44291</v>
      </c>
      <c r="D142" s="222">
        <f t="shared" si="46"/>
        <v>44312</v>
      </c>
      <c r="E142" s="54" t="s">
        <v>16</v>
      </c>
      <c r="F142" s="162">
        <v>9</v>
      </c>
      <c r="G142" s="202">
        <v>4</v>
      </c>
      <c r="H142" s="203">
        <f t="shared" si="27"/>
        <v>3.7029508747261031</v>
      </c>
      <c r="I142" s="203">
        <f t="shared" si="43"/>
        <v>6.1637282811749872</v>
      </c>
      <c r="J142" s="204">
        <f t="shared" si="40"/>
        <v>24.654913124699949</v>
      </c>
      <c r="K142" s="205">
        <f t="shared" si="45"/>
        <v>14.811803498904412</v>
      </c>
      <c r="L142" s="206">
        <f>+J142-K142</f>
        <v>9.8431096257955364</v>
      </c>
      <c r="M142" s="207">
        <f t="shared" si="28"/>
        <v>0.31380326647349771</v>
      </c>
      <c r="N142" s="208">
        <f t="shared" si="29"/>
        <v>10.156912892269034</v>
      </c>
      <c r="O142" s="207">
        <f t="shared" si="30"/>
        <v>0</v>
      </c>
      <c r="P142" s="207">
        <f t="shared" si="31"/>
        <v>0</v>
      </c>
      <c r="Q142" s="207">
        <v>0</v>
      </c>
      <c r="R142" s="208">
        <f t="shared" si="32"/>
        <v>10.156912892269034</v>
      </c>
    </row>
    <row r="143" spans="1:18" x14ac:dyDescent="0.2">
      <c r="A143" s="125">
        <v>4</v>
      </c>
      <c r="B143" s="199">
        <f t="shared" si="39"/>
        <v>44287</v>
      </c>
      <c r="C143" s="222">
        <f t="shared" si="46"/>
        <v>44321</v>
      </c>
      <c r="D143" s="222">
        <f t="shared" si="46"/>
        <v>44340</v>
      </c>
      <c r="E143" s="54" t="s">
        <v>16</v>
      </c>
      <c r="F143" s="162">
        <v>9</v>
      </c>
      <c r="G143" s="202">
        <v>4</v>
      </c>
      <c r="H143" s="203">
        <f t="shared" si="27"/>
        <v>3.7029508747261031</v>
      </c>
      <c r="I143" s="203">
        <f t="shared" si="43"/>
        <v>6.1637282811749872</v>
      </c>
      <c r="J143" s="204">
        <f t="shared" si="40"/>
        <v>24.654913124699949</v>
      </c>
      <c r="K143" s="205">
        <f t="shared" si="45"/>
        <v>14.811803498904412</v>
      </c>
      <c r="L143" s="206">
        <f t="shared" ref="L143:L153" si="47">+J143-K143</f>
        <v>9.8431096257955364</v>
      </c>
      <c r="M143" s="207">
        <f t="shared" si="28"/>
        <v>0.31380326647349771</v>
      </c>
      <c r="N143" s="208">
        <f t="shared" si="29"/>
        <v>10.156912892269034</v>
      </c>
      <c r="O143" s="207">
        <f t="shared" si="30"/>
        <v>0</v>
      </c>
      <c r="P143" s="207">
        <f t="shared" si="31"/>
        <v>0</v>
      </c>
      <c r="Q143" s="207">
        <v>0</v>
      </c>
      <c r="R143" s="208">
        <f t="shared" si="32"/>
        <v>10.156912892269034</v>
      </c>
    </row>
    <row r="144" spans="1:18" x14ac:dyDescent="0.2">
      <c r="A144" s="162">
        <v>5</v>
      </c>
      <c r="B144" s="199">
        <f t="shared" si="39"/>
        <v>44317</v>
      </c>
      <c r="C144" s="222">
        <f t="shared" si="46"/>
        <v>44350</v>
      </c>
      <c r="D144" s="222">
        <f t="shared" si="46"/>
        <v>44371</v>
      </c>
      <c r="E144" s="54" t="s">
        <v>16</v>
      </c>
      <c r="F144" s="162">
        <v>9</v>
      </c>
      <c r="G144" s="202">
        <v>3</v>
      </c>
      <c r="H144" s="203">
        <f t="shared" si="27"/>
        <v>3.7029508747261031</v>
      </c>
      <c r="I144" s="203">
        <f t="shared" si="43"/>
        <v>6.1637282811749872</v>
      </c>
      <c r="J144" s="204">
        <f t="shared" si="40"/>
        <v>18.491184843524962</v>
      </c>
      <c r="K144" s="205">
        <f t="shared" si="45"/>
        <v>11.10885262417831</v>
      </c>
      <c r="L144" s="206">
        <f t="shared" si="47"/>
        <v>7.3823322193466527</v>
      </c>
      <c r="M144" s="207">
        <f t="shared" si="28"/>
        <v>0.2353524498551233</v>
      </c>
      <c r="N144" s="208">
        <f t="shared" si="29"/>
        <v>7.6176846692017763</v>
      </c>
      <c r="O144" s="207">
        <f t="shared" si="30"/>
        <v>0</v>
      </c>
      <c r="P144" s="207">
        <f t="shared" si="31"/>
        <v>0</v>
      </c>
      <c r="Q144" s="207">
        <v>0</v>
      </c>
      <c r="R144" s="208">
        <f t="shared" si="32"/>
        <v>7.6176846692017763</v>
      </c>
    </row>
    <row r="145" spans="1:19" x14ac:dyDescent="0.2">
      <c r="A145" s="162">
        <v>6</v>
      </c>
      <c r="B145" s="199">
        <f t="shared" si="39"/>
        <v>44348</v>
      </c>
      <c r="C145" s="222">
        <f t="shared" si="46"/>
        <v>44383</v>
      </c>
      <c r="D145" s="222">
        <f t="shared" si="46"/>
        <v>44401</v>
      </c>
      <c r="E145" s="54" t="s">
        <v>16</v>
      </c>
      <c r="F145" s="162">
        <v>9</v>
      </c>
      <c r="G145" s="202">
        <v>5</v>
      </c>
      <c r="H145" s="203">
        <f t="shared" si="27"/>
        <v>3.7029508747261031</v>
      </c>
      <c r="I145" s="203">
        <f t="shared" si="43"/>
        <v>6.1637282811749872</v>
      </c>
      <c r="J145" s="204">
        <f t="shared" si="40"/>
        <v>30.818641405874935</v>
      </c>
      <c r="K145" s="205">
        <f t="shared" si="45"/>
        <v>18.514754373630517</v>
      </c>
      <c r="L145" s="210">
        <f t="shared" si="47"/>
        <v>12.303887032244418</v>
      </c>
      <c r="M145" s="207">
        <f t="shared" si="28"/>
        <v>0.39225408309187215</v>
      </c>
      <c r="N145" s="208">
        <f t="shared" si="29"/>
        <v>12.696141115336291</v>
      </c>
      <c r="O145" s="207">
        <f t="shared" si="30"/>
        <v>0</v>
      </c>
      <c r="P145" s="207">
        <f t="shared" si="31"/>
        <v>0</v>
      </c>
      <c r="Q145" s="207">
        <v>0</v>
      </c>
      <c r="R145" s="208">
        <f t="shared" si="32"/>
        <v>12.696141115336291</v>
      </c>
    </row>
    <row r="146" spans="1:19" x14ac:dyDescent="0.2">
      <c r="A146" s="125">
        <v>7</v>
      </c>
      <c r="B146" s="199">
        <f t="shared" si="39"/>
        <v>44378</v>
      </c>
      <c r="C146" s="222">
        <f t="shared" si="46"/>
        <v>44412</v>
      </c>
      <c r="D146" s="222">
        <f t="shared" si="46"/>
        <v>44432</v>
      </c>
      <c r="E146" s="54" t="s">
        <v>16</v>
      </c>
      <c r="F146" s="162">
        <v>9</v>
      </c>
      <c r="G146" s="202">
        <v>5</v>
      </c>
      <c r="H146" s="203">
        <f t="shared" si="27"/>
        <v>3.7029508747261031</v>
      </c>
      <c r="I146" s="203">
        <f t="shared" si="43"/>
        <v>6.1637282811749872</v>
      </c>
      <c r="J146" s="204">
        <f t="shared" si="40"/>
        <v>30.818641405874935</v>
      </c>
      <c r="K146" s="211">
        <f t="shared" si="45"/>
        <v>18.514754373630517</v>
      </c>
      <c r="L146" s="210">
        <f t="shared" si="47"/>
        <v>12.303887032244418</v>
      </c>
      <c r="M146" s="207">
        <f t="shared" si="28"/>
        <v>0.39225408309187215</v>
      </c>
      <c r="N146" s="208">
        <f t="shared" si="29"/>
        <v>12.696141115336291</v>
      </c>
      <c r="O146" s="207">
        <f t="shared" si="30"/>
        <v>0</v>
      </c>
      <c r="P146" s="207">
        <f t="shared" si="31"/>
        <v>0</v>
      </c>
      <c r="Q146" s="207">
        <v>0</v>
      </c>
      <c r="R146" s="208">
        <f t="shared" si="32"/>
        <v>12.696141115336291</v>
      </c>
    </row>
    <row r="147" spans="1:19" x14ac:dyDescent="0.2">
      <c r="A147" s="162">
        <v>8</v>
      </c>
      <c r="B147" s="199">
        <f t="shared" si="39"/>
        <v>44409</v>
      </c>
      <c r="C147" s="222">
        <f t="shared" si="46"/>
        <v>44442</v>
      </c>
      <c r="D147" s="222">
        <f t="shared" si="46"/>
        <v>44463</v>
      </c>
      <c r="E147" s="54" t="s">
        <v>16</v>
      </c>
      <c r="F147" s="162">
        <v>9</v>
      </c>
      <c r="G147" s="202">
        <v>4</v>
      </c>
      <c r="H147" s="203">
        <f t="shared" si="27"/>
        <v>3.7029508747261031</v>
      </c>
      <c r="I147" s="203">
        <f t="shared" si="43"/>
        <v>6.1637282811749872</v>
      </c>
      <c r="J147" s="204">
        <f t="shared" si="40"/>
        <v>24.654913124699949</v>
      </c>
      <c r="K147" s="211">
        <f t="shared" si="45"/>
        <v>14.811803498904412</v>
      </c>
      <c r="L147" s="210">
        <f t="shared" si="47"/>
        <v>9.8431096257955364</v>
      </c>
      <c r="M147" s="207">
        <f t="shared" si="28"/>
        <v>0.31380326647349771</v>
      </c>
      <c r="N147" s="208">
        <f t="shared" si="29"/>
        <v>10.156912892269034</v>
      </c>
      <c r="O147" s="207">
        <f t="shared" si="30"/>
        <v>0</v>
      </c>
      <c r="P147" s="207">
        <f t="shared" si="31"/>
        <v>0</v>
      </c>
      <c r="Q147" s="207">
        <v>0</v>
      </c>
      <c r="R147" s="208">
        <f t="shared" si="32"/>
        <v>10.156912892269034</v>
      </c>
    </row>
    <row r="148" spans="1:19" x14ac:dyDescent="0.2">
      <c r="A148" s="162">
        <v>9</v>
      </c>
      <c r="B148" s="199">
        <f t="shared" si="39"/>
        <v>44440</v>
      </c>
      <c r="C148" s="222">
        <f t="shared" si="46"/>
        <v>44474</v>
      </c>
      <c r="D148" s="222">
        <f t="shared" si="46"/>
        <v>44494</v>
      </c>
      <c r="E148" s="54" t="s">
        <v>16</v>
      </c>
      <c r="F148" s="162">
        <v>9</v>
      </c>
      <c r="G148" s="202">
        <v>4</v>
      </c>
      <c r="H148" s="203">
        <f t="shared" si="27"/>
        <v>3.7029508747261031</v>
      </c>
      <c r="I148" s="203">
        <f t="shared" ref="I148:I179" si="48">$J$3</f>
        <v>6.1637282811749872</v>
      </c>
      <c r="J148" s="204">
        <f t="shared" si="40"/>
        <v>24.654913124699949</v>
      </c>
      <c r="K148" s="211">
        <f t="shared" si="45"/>
        <v>14.811803498904412</v>
      </c>
      <c r="L148" s="210">
        <f t="shared" si="47"/>
        <v>9.8431096257955364</v>
      </c>
      <c r="M148" s="207">
        <f t="shared" si="28"/>
        <v>0.31380326647349771</v>
      </c>
      <c r="N148" s="208">
        <f t="shared" si="29"/>
        <v>10.156912892269034</v>
      </c>
      <c r="O148" s="207">
        <f t="shared" si="30"/>
        <v>0</v>
      </c>
      <c r="P148" s="207">
        <f t="shared" si="31"/>
        <v>0</v>
      </c>
      <c r="Q148" s="207">
        <v>0</v>
      </c>
      <c r="R148" s="208">
        <f t="shared" si="32"/>
        <v>10.156912892269034</v>
      </c>
    </row>
    <row r="149" spans="1:19" x14ac:dyDescent="0.2">
      <c r="A149" s="125">
        <v>10</v>
      </c>
      <c r="B149" s="199">
        <f t="shared" ref="B149:B211" si="49">DATE($R$1,A149,1)</f>
        <v>44470</v>
      </c>
      <c r="C149" s="222">
        <f t="shared" si="46"/>
        <v>44503</v>
      </c>
      <c r="D149" s="222">
        <f t="shared" si="46"/>
        <v>44524</v>
      </c>
      <c r="E149" s="54" t="s">
        <v>16</v>
      </c>
      <c r="F149" s="162">
        <v>9</v>
      </c>
      <c r="G149" s="202">
        <v>4</v>
      </c>
      <c r="H149" s="203">
        <f t="shared" ref="H149:H211" si="50">+$K$3</f>
        <v>3.7029508747261031</v>
      </c>
      <c r="I149" s="203">
        <f t="shared" si="48"/>
        <v>6.1637282811749872</v>
      </c>
      <c r="J149" s="204">
        <f t="shared" ref="J149:J211" si="51">+$G149*I149</f>
        <v>24.654913124699949</v>
      </c>
      <c r="K149" s="211">
        <f t="shared" si="45"/>
        <v>14.811803498904412</v>
      </c>
      <c r="L149" s="210">
        <f t="shared" si="47"/>
        <v>9.8431096257955364</v>
      </c>
      <c r="M149" s="207">
        <f t="shared" ref="M149:M211" si="52">G149/$G$212*$M$14</f>
        <v>0.31380326647349771</v>
      </c>
      <c r="N149" s="208">
        <f t="shared" ref="N149:N211" si="53">SUM(L149:M149)</f>
        <v>10.156912892269034</v>
      </c>
      <c r="O149" s="207">
        <f t="shared" ref="O149:O211" si="54">+$P$3</f>
        <v>0</v>
      </c>
      <c r="P149" s="207">
        <f t="shared" ref="P149:P211" si="55">+G149*O149</f>
        <v>0</v>
      </c>
      <c r="Q149" s="207">
        <v>0</v>
      </c>
      <c r="R149" s="208">
        <f t="shared" ref="R149:R211" si="56">+N149-Q149</f>
        <v>10.156912892269034</v>
      </c>
    </row>
    <row r="150" spans="1:19" x14ac:dyDescent="0.2">
      <c r="A150" s="162">
        <v>11</v>
      </c>
      <c r="B150" s="199">
        <f t="shared" si="49"/>
        <v>44501</v>
      </c>
      <c r="C150" s="222">
        <f t="shared" si="46"/>
        <v>44533</v>
      </c>
      <c r="D150" s="222">
        <f t="shared" si="46"/>
        <v>44557</v>
      </c>
      <c r="E150" s="54" t="s">
        <v>16</v>
      </c>
      <c r="F150" s="162">
        <v>9</v>
      </c>
      <c r="G150" s="202">
        <v>4</v>
      </c>
      <c r="H150" s="203">
        <f t="shared" si="50"/>
        <v>3.7029508747261031</v>
      </c>
      <c r="I150" s="203">
        <f t="shared" si="48"/>
        <v>6.1637282811749872</v>
      </c>
      <c r="J150" s="204">
        <f t="shared" si="51"/>
        <v>24.654913124699949</v>
      </c>
      <c r="K150" s="211">
        <f t="shared" si="45"/>
        <v>14.811803498904412</v>
      </c>
      <c r="L150" s="210">
        <f t="shared" si="47"/>
        <v>9.8431096257955364</v>
      </c>
      <c r="M150" s="207">
        <f t="shared" si="52"/>
        <v>0.31380326647349771</v>
      </c>
      <c r="N150" s="208">
        <f t="shared" si="53"/>
        <v>10.156912892269034</v>
      </c>
      <c r="O150" s="207">
        <f t="shared" si="54"/>
        <v>0</v>
      </c>
      <c r="P150" s="207">
        <f t="shared" si="55"/>
        <v>0</v>
      </c>
      <c r="Q150" s="207">
        <v>0</v>
      </c>
      <c r="R150" s="208">
        <f t="shared" si="56"/>
        <v>10.156912892269034</v>
      </c>
    </row>
    <row r="151" spans="1:19" s="226" customFormat="1" x14ac:dyDescent="0.2">
      <c r="A151" s="162">
        <v>12</v>
      </c>
      <c r="B151" s="224">
        <f t="shared" si="49"/>
        <v>44531</v>
      </c>
      <c r="C151" s="222">
        <f t="shared" si="46"/>
        <v>44566</v>
      </c>
      <c r="D151" s="222">
        <f t="shared" si="46"/>
        <v>44585</v>
      </c>
      <c r="E151" s="225" t="s">
        <v>16</v>
      </c>
      <c r="F151" s="173">
        <v>9</v>
      </c>
      <c r="G151" s="202">
        <v>1</v>
      </c>
      <c r="H151" s="214">
        <f t="shared" si="50"/>
        <v>3.7029508747261031</v>
      </c>
      <c r="I151" s="214">
        <f t="shared" si="48"/>
        <v>6.1637282811749872</v>
      </c>
      <c r="J151" s="215">
        <f t="shared" si="51"/>
        <v>6.1637282811749872</v>
      </c>
      <c r="K151" s="216">
        <f t="shared" si="45"/>
        <v>3.7029508747261031</v>
      </c>
      <c r="L151" s="217">
        <f t="shared" si="47"/>
        <v>2.4607774064488841</v>
      </c>
      <c r="M151" s="207">
        <f t="shared" si="52"/>
        <v>7.8450816618374428E-2</v>
      </c>
      <c r="N151" s="208">
        <f t="shared" si="53"/>
        <v>2.5392282230672585</v>
      </c>
      <c r="O151" s="207">
        <f t="shared" si="54"/>
        <v>0</v>
      </c>
      <c r="P151" s="207">
        <f t="shared" si="55"/>
        <v>0</v>
      </c>
      <c r="Q151" s="207">
        <v>0</v>
      </c>
      <c r="R151" s="208">
        <f t="shared" si="56"/>
        <v>2.5392282230672585</v>
      </c>
    </row>
    <row r="152" spans="1:19" x14ac:dyDescent="0.2">
      <c r="A152" s="125">
        <v>1</v>
      </c>
      <c r="B152" s="199">
        <f t="shared" si="49"/>
        <v>44197</v>
      </c>
      <c r="C152" s="219">
        <f t="shared" ref="C152:D171" si="57">+C140</f>
        <v>44230</v>
      </c>
      <c r="D152" s="219">
        <f t="shared" si="57"/>
        <v>44251</v>
      </c>
      <c r="E152" s="229" t="s">
        <v>55</v>
      </c>
      <c r="F152" s="125">
        <v>9</v>
      </c>
      <c r="G152" s="202">
        <v>104</v>
      </c>
      <c r="H152" s="203">
        <f t="shared" si="50"/>
        <v>3.7029508747261031</v>
      </c>
      <c r="I152" s="203">
        <f t="shared" si="48"/>
        <v>6.1637282811749872</v>
      </c>
      <c r="J152" s="204">
        <f t="shared" si="51"/>
        <v>641.02774124219866</v>
      </c>
      <c r="K152" s="205">
        <f t="shared" si="45"/>
        <v>385.1068909715147</v>
      </c>
      <c r="L152" s="206">
        <f t="shared" si="47"/>
        <v>255.92085027068396</v>
      </c>
      <c r="M152" s="207">
        <f t="shared" si="52"/>
        <v>8.1588849283109415</v>
      </c>
      <c r="N152" s="208">
        <f t="shared" si="53"/>
        <v>264.07973519899491</v>
      </c>
      <c r="O152" s="207">
        <f t="shared" si="54"/>
        <v>0</v>
      </c>
      <c r="P152" s="207">
        <f t="shared" si="55"/>
        <v>0</v>
      </c>
      <c r="Q152" s="207">
        <v>0</v>
      </c>
      <c r="R152" s="208">
        <f t="shared" si="56"/>
        <v>264.07973519899491</v>
      </c>
    </row>
    <row r="153" spans="1:19" x14ac:dyDescent="0.2">
      <c r="A153" s="162">
        <v>2</v>
      </c>
      <c r="B153" s="199">
        <f t="shared" si="49"/>
        <v>44228</v>
      </c>
      <c r="C153" s="222">
        <f t="shared" si="57"/>
        <v>44258</v>
      </c>
      <c r="D153" s="222">
        <f t="shared" si="57"/>
        <v>44279</v>
      </c>
      <c r="E153" s="230" t="s">
        <v>55</v>
      </c>
      <c r="F153" s="162">
        <v>9</v>
      </c>
      <c r="G153" s="202">
        <v>133</v>
      </c>
      <c r="H153" s="203">
        <f t="shared" si="50"/>
        <v>3.7029508747261031</v>
      </c>
      <c r="I153" s="203">
        <f t="shared" si="48"/>
        <v>6.1637282811749872</v>
      </c>
      <c r="J153" s="204">
        <f t="shared" si="51"/>
        <v>819.77586139627329</v>
      </c>
      <c r="K153" s="205">
        <f t="shared" si="45"/>
        <v>492.49246633857172</v>
      </c>
      <c r="L153" s="206">
        <f t="shared" si="47"/>
        <v>327.28339505770157</v>
      </c>
      <c r="M153" s="207">
        <f t="shared" si="52"/>
        <v>10.433958610243799</v>
      </c>
      <c r="N153" s="208">
        <f t="shared" si="53"/>
        <v>337.71735366794536</v>
      </c>
      <c r="O153" s="207">
        <f t="shared" si="54"/>
        <v>0</v>
      </c>
      <c r="P153" s="207">
        <f t="shared" si="55"/>
        <v>0</v>
      </c>
      <c r="Q153" s="207">
        <v>0</v>
      </c>
      <c r="R153" s="208">
        <f t="shared" si="56"/>
        <v>337.71735366794536</v>
      </c>
    </row>
    <row r="154" spans="1:19" x14ac:dyDescent="0.2">
      <c r="A154" s="162">
        <v>3</v>
      </c>
      <c r="B154" s="199">
        <f t="shared" si="49"/>
        <v>44256</v>
      </c>
      <c r="C154" s="222">
        <f t="shared" si="57"/>
        <v>44291</v>
      </c>
      <c r="D154" s="222">
        <f t="shared" si="57"/>
        <v>44312</v>
      </c>
      <c r="E154" s="230" t="s">
        <v>55</v>
      </c>
      <c r="F154" s="162">
        <v>9</v>
      </c>
      <c r="G154" s="202">
        <v>87</v>
      </c>
      <c r="H154" s="203">
        <f t="shared" si="50"/>
        <v>3.7029508747261031</v>
      </c>
      <c r="I154" s="203">
        <f t="shared" si="48"/>
        <v>6.1637282811749872</v>
      </c>
      <c r="J154" s="204">
        <f t="shared" si="51"/>
        <v>536.24436046222388</v>
      </c>
      <c r="K154" s="205">
        <f t="shared" si="45"/>
        <v>322.15672610117099</v>
      </c>
      <c r="L154" s="206">
        <f>+J154-K154</f>
        <v>214.08763436105289</v>
      </c>
      <c r="M154" s="207">
        <f t="shared" si="52"/>
        <v>6.8252210457985765</v>
      </c>
      <c r="N154" s="208">
        <f t="shared" si="53"/>
        <v>220.91285540685146</v>
      </c>
      <c r="O154" s="207">
        <f t="shared" si="54"/>
        <v>0</v>
      </c>
      <c r="P154" s="207">
        <f t="shared" si="55"/>
        <v>0</v>
      </c>
      <c r="Q154" s="207">
        <v>0</v>
      </c>
      <c r="R154" s="208">
        <f t="shared" si="56"/>
        <v>220.91285540685146</v>
      </c>
    </row>
    <row r="155" spans="1:19" x14ac:dyDescent="0.2">
      <c r="A155" s="125">
        <v>4</v>
      </c>
      <c r="B155" s="199">
        <f t="shared" si="49"/>
        <v>44287</v>
      </c>
      <c r="C155" s="222">
        <f t="shared" si="57"/>
        <v>44321</v>
      </c>
      <c r="D155" s="222">
        <f t="shared" si="57"/>
        <v>44340</v>
      </c>
      <c r="E155" s="230" t="s">
        <v>55</v>
      </c>
      <c r="F155" s="162">
        <v>9</v>
      </c>
      <c r="G155" s="202">
        <v>77</v>
      </c>
      <c r="H155" s="203">
        <f t="shared" si="50"/>
        <v>3.7029508747261031</v>
      </c>
      <c r="I155" s="203">
        <f t="shared" si="48"/>
        <v>6.1637282811749872</v>
      </c>
      <c r="J155" s="204">
        <f t="shared" si="51"/>
        <v>474.60707765047403</v>
      </c>
      <c r="K155" s="205">
        <f t="shared" si="45"/>
        <v>285.12721735390994</v>
      </c>
      <c r="L155" s="206">
        <f t="shared" ref="L155:L165" si="58">+J155-K155</f>
        <v>189.47986029656408</v>
      </c>
      <c r="M155" s="207">
        <f t="shared" si="52"/>
        <v>6.0407128796148317</v>
      </c>
      <c r="N155" s="208">
        <f t="shared" si="53"/>
        <v>195.52057317617891</v>
      </c>
      <c r="O155" s="207">
        <f t="shared" si="54"/>
        <v>0</v>
      </c>
      <c r="P155" s="207">
        <f t="shared" si="55"/>
        <v>0</v>
      </c>
      <c r="Q155" s="207">
        <v>0</v>
      </c>
      <c r="R155" s="208">
        <f t="shared" si="56"/>
        <v>195.52057317617891</v>
      </c>
    </row>
    <row r="156" spans="1:19" x14ac:dyDescent="0.2">
      <c r="A156" s="162">
        <v>5</v>
      </c>
      <c r="B156" s="199">
        <f t="shared" si="49"/>
        <v>44317</v>
      </c>
      <c r="C156" s="222">
        <f t="shared" si="57"/>
        <v>44350</v>
      </c>
      <c r="D156" s="222">
        <f t="shared" si="57"/>
        <v>44371</v>
      </c>
      <c r="E156" s="230" t="s">
        <v>55</v>
      </c>
      <c r="F156" s="162">
        <v>9</v>
      </c>
      <c r="G156" s="202">
        <v>104</v>
      </c>
      <c r="H156" s="203">
        <f t="shared" si="50"/>
        <v>3.7029508747261031</v>
      </c>
      <c r="I156" s="203">
        <f t="shared" si="48"/>
        <v>6.1637282811749872</v>
      </c>
      <c r="J156" s="204">
        <f t="shared" si="51"/>
        <v>641.02774124219866</v>
      </c>
      <c r="K156" s="205">
        <f t="shared" si="45"/>
        <v>385.1068909715147</v>
      </c>
      <c r="L156" s="206">
        <f t="shared" si="58"/>
        <v>255.92085027068396</v>
      </c>
      <c r="M156" s="207">
        <f t="shared" si="52"/>
        <v>8.1588849283109415</v>
      </c>
      <c r="N156" s="208">
        <f t="shared" si="53"/>
        <v>264.07973519899491</v>
      </c>
      <c r="O156" s="207">
        <f t="shared" si="54"/>
        <v>0</v>
      </c>
      <c r="P156" s="207">
        <f t="shared" si="55"/>
        <v>0</v>
      </c>
      <c r="Q156" s="207">
        <v>0</v>
      </c>
      <c r="R156" s="208">
        <f t="shared" si="56"/>
        <v>264.07973519899491</v>
      </c>
    </row>
    <row r="157" spans="1:19" x14ac:dyDescent="0.2">
      <c r="A157" s="162">
        <v>6</v>
      </c>
      <c r="B157" s="199">
        <f t="shared" si="49"/>
        <v>44348</v>
      </c>
      <c r="C157" s="222">
        <f t="shared" si="57"/>
        <v>44383</v>
      </c>
      <c r="D157" s="222">
        <f t="shared" si="57"/>
        <v>44401</v>
      </c>
      <c r="E157" s="230" t="s">
        <v>55</v>
      </c>
      <c r="F157" s="162">
        <v>9</v>
      </c>
      <c r="G157" s="202">
        <v>144</v>
      </c>
      <c r="H157" s="203">
        <f t="shared" si="50"/>
        <v>3.7029508747261031</v>
      </c>
      <c r="I157" s="203">
        <f t="shared" si="48"/>
        <v>6.1637282811749872</v>
      </c>
      <c r="J157" s="204">
        <f t="shared" si="51"/>
        <v>887.57687248919819</v>
      </c>
      <c r="K157" s="205">
        <f t="shared" si="45"/>
        <v>533.22492596055883</v>
      </c>
      <c r="L157" s="210">
        <f t="shared" si="58"/>
        <v>354.35194652863936</v>
      </c>
      <c r="M157" s="207">
        <f t="shared" si="52"/>
        <v>11.296917593045919</v>
      </c>
      <c r="N157" s="208">
        <f t="shared" si="53"/>
        <v>365.64886412168528</v>
      </c>
      <c r="O157" s="207">
        <f t="shared" si="54"/>
        <v>0</v>
      </c>
      <c r="P157" s="207">
        <f t="shared" si="55"/>
        <v>0</v>
      </c>
      <c r="Q157" s="207">
        <v>0</v>
      </c>
      <c r="R157" s="208">
        <f t="shared" si="56"/>
        <v>365.64886412168528</v>
      </c>
    </row>
    <row r="158" spans="1:19" x14ac:dyDescent="0.2">
      <c r="A158" s="125">
        <v>7</v>
      </c>
      <c r="B158" s="199">
        <f t="shared" si="49"/>
        <v>44378</v>
      </c>
      <c r="C158" s="222">
        <f t="shared" si="57"/>
        <v>44412</v>
      </c>
      <c r="D158" s="222">
        <f t="shared" si="57"/>
        <v>44432</v>
      </c>
      <c r="E158" s="230" t="s">
        <v>55</v>
      </c>
      <c r="F158" s="162">
        <v>9</v>
      </c>
      <c r="G158" s="202">
        <v>161</v>
      </c>
      <c r="H158" s="203">
        <f t="shared" si="50"/>
        <v>3.7029508747261031</v>
      </c>
      <c r="I158" s="203">
        <f t="shared" si="48"/>
        <v>6.1637282811749872</v>
      </c>
      <c r="J158" s="204">
        <f t="shared" si="51"/>
        <v>992.36025326917297</v>
      </c>
      <c r="K158" s="211">
        <f t="shared" si="45"/>
        <v>596.1750908309026</v>
      </c>
      <c r="L158" s="210">
        <f t="shared" si="58"/>
        <v>396.18516243827037</v>
      </c>
      <c r="M158" s="207">
        <f t="shared" si="52"/>
        <v>12.630581475558284</v>
      </c>
      <c r="N158" s="208">
        <f t="shared" si="53"/>
        <v>408.81574391382867</v>
      </c>
      <c r="O158" s="207">
        <f t="shared" si="54"/>
        <v>0</v>
      </c>
      <c r="P158" s="207">
        <f t="shared" si="55"/>
        <v>0</v>
      </c>
      <c r="Q158" s="207">
        <v>0</v>
      </c>
      <c r="R158" s="208">
        <f t="shared" si="56"/>
        <v>408.81574391382867</v>
      </c>
    </row>
    <row r="159" spans="1:19" x14ac:dyDescent="0.2">
      <c r="A159" s="162">
        <v>8</v>
      </c>
      <c r="B159" s="199">
        <f t="shared" si="49"/>
        <v>44409</v>
      </c>
      <c r="C159" s="222">
        <f t="shared" si="57"/>
        <v>44442</v>
      </c>
      <c r="D159" s="222">
        <f t="shared" si="57"/>
        <v>44463</v>
      </c>
      <c r="E159" s="230" t="s">
        <v>55</v>
      </c>
      <c r="F159" s="125">
        <v>9</v>
      </c>
      <c r="G159" s="202">
        <v>163</v>
      </c>
      <c r="H159" s="203">
        <f t="shared" si="50"/>
        <v>3.7029508747261031</v>
      </c>
      <c r="I159" s="203">
        <f t="shared" si="48"/>
        <v>6.1637282811749872</v>
      </c>
      <c r="J159" s="204">
        <f t="shared" si="51"/>
        <v>1004.6877098315229</v>
      </c>
      <c r="K159" s="211">
        <f t="shared" si="45"/>
        <v>603.58099258035475</v>
      </c>
      <c r="L159" s="210">
        <f t="shared" si="58"/>
        <v>401.10671725116811</v>
      </c>
      <c r="M159" s="207">
        <f t="shared" si="52"/>
        <v>12.787483108795032</v>
      </c>
      <c r="N159" s="208">
        <f t="shared" si="53"/>
        <v>413.89420035996312</v>
      </c>
      <c r="O159" s="207">
        <f t="shared" si="54"/>
        <v>0</v>
      </c>
      <c r="P159" s="207">
        <f t="shared" si="55"/>
        <v>0</v>
      </c>
      <c r="Q159" s="207">
        <v>0</v>
      </c>
      <c r="R159" s="208">
        <f t="shared" si="56"/>
        <v>413.89420035996312</v>
      </c>
      <c r="S159" s="52"/>
    </row>
    <row r="160" spans="1:19" x14ac:dyDescent="0.2">
      <c r="A160" s="162">
        <v>9</v>
      </c>
      <c r="B160" s="199">
        <f t="shared" si="49"/>
        <v>44440</v>
      </c>
      <c r="C160" s="222">
        <f t="shared" si="57"/>
        <v>44474</v>
      </c>
      <c r="D160" s="222">
        <f t="shared" si="57"/>
        <v>44494</v>
      </c>
      <c r="E160" s="230" t="s">
        <v>55</v>
      </c>
      <c r="F160" s="125">
        <v>9</v>
      </c>
      <c r="G160" s="202">
        <v>153</v>
      </c>
      <c r="H160" s="203">
        <f t="shared" si="50"/>
        <v>3.7029508747261031</v>
      </c>
      <c r="I160" s="203">
        <f t="shared" si="48"/>
        <v>6.1637282811749872</v>
      </c>
      <c r="J160" s="204">
        <f t="shared" si="51"/>
        <v>943.050427019773</v>
      </c>
      <c r="K160" s="211">
        <f t="shared" si="45"/>
        <v>566.55148383309381</v>
      </c>
      <c r="L160" s="210">
        <f t="shared" si="58"/>
        <v>376.49894318667918</v>
      </c>
      <c r="M160" s="207">
        <f t="shared" si="52"/>
        <v>12.002974942611289</v>
      </c>
      <c r="N160" s="208">
        <f t="shared" si="53"/>
        <v>388.50191812929046</v>
      </c>
      <c r="O160" s="207">
        <f t="shared" si="54"/>
        <v>0</v>
      </c>
      <c r="P160" s="207">
        <f t="shared" si="55"/>
        <v>0</v>
      </c>
      <c r="Q160" s="207">
        <v>0</v>
      </c>
      <c r="R160" s="208">
        <f t="shared" si="56"/>
        <v>388.50191812929046</v>
      </c>
    </row>
    <row r="161" spans="1:19" x14ac:dyDescent="0.2">
      <c r="A161" s="125">
        <v>10</v>
      </c>
      <c r="B161" s="199">
        <f t="shared" si="49"/>
        <v>44470</v>
      </c>
      <c r="C161" s="222">
        <f t="shared" si="57"/>
        <v>44503</v>
      </c>
      <c r="D161" s="222">
        <f t="shared" si="57"/>
        <v>44524</v>
      </c>
      <c r="E161" s="230" t="s">
        <v>55</v>
      </c>
      <c r="F161" s="125">
        <v>9</v>
      </c>
      <c r="G161" s="202">
        <v>117</v>
      </c>
      <c r="H161" s="203">
        <f t="shared" si="50"/>
        <v>3.7029508747261031</v>
      </c>
      <c r="I161" s="203">
        <f t="shared" si="48"/>
        <v>6.1637282811749872</v>
      </c>
      <c r="J161" s="204">
        <f t="shared" si="51"/>
        <v>721.15620889747345</v>
      </c>
      <c r="K161" s="211">
        <f t="shared" si="45"/>
        <v>433.24525234295407</v>
      </c>
      <c r="L161" s="210">
        <f t="shared" si="58"/>
        <v>287.91095655451937</v>
      </c>
      <c r="M161" s="207">
        <f t="shared" si="52"/>
        <v>9.1787455443498089</v>
      </c>
      <c r="N161" s="208">
        <f t="shared" si="53"/>
        <v>297.08970209886917</v>
      </c>
      <c r="O161" s="207">
        <f t="shared" si="54"/>
        <v>0</v>
      </c>
      <c r="P161" s="207">
        <f t="shared" si="55"/>
        <v>0</v>
      </c>
      <c r="Q161" s="207">
        <v>0</v>
      </c>
      <c r="R161" s="208">
        <f t="shared" si="56"/>
        <v>297.08970209886917</v>
      </c>
    </row>
    <row r="162" spans="1:19" x14ac:dyDescent="0.2">
      <c r="A162" s="162">
        <v>11</v>
      </c>
      <c r="B162" s="199">
        <f t="shared" si="49"/>
        <v>44501</v>
      </c>
      <c r="C162" s="222">
        <f t="shared" si="57"/>
        <v>44533</v>
      </c>
      <c r="D162" s="222">
        <f t="shared" si="57"/>
        <v>44557</v>
      </c>
      <c r="E162" s="230" t="s">
        <v>55</v>
      </c>
      <c r="F162" s="125">
        <v>9</v>
      </c>
      <c r="G162" s="202">
        <v>91</v>
      </c>
      <c r="H162" s="203">
        <f t="shared" si="50"/>
        <v>3.7029508747261031</v>
      </c>
      <c r="I162" s="203">
        <f t="shared" si="48"/>
        <v>6.1637282811749872</v>
      </c>
      <c r="J162" s="204">
        <f t="shared" si="51"/>
        <v>560.89927358692387</v>
      </c>
      <c r="K162" s="211">
        <f t="shared" si="45"/>
        <v>336.96852960007539</v>
      </c>
      <c r="L162" s="210">
        <f t="shared" si="58"/>
        <v>223.93074398684848</v>
      </c>
      <c r="M162" s="207">
        <f t="shared" si="52"/>
        <v>7.139024312272074</v>
      </c>
      <c r="N162" s="208">
        <f t="shared" si="53"/>
        <v>231.06976829912057</v>
      </c>
      <c r="O162" s="207">
        <f t="shared" si="54"/>
        <v>0</v>
      </c>
      <c r="P162" s="207">
        <f t="shared" si="55"/>
        <v>0</v>
      </c>
      <c r="Q162" s="207">
        <v>0</v>
      </c>
      <c r="R162" s="208">
        <f t="shared" si="56"/>
        <v>231.06976829912057</v>
      </c>
    </row>
    <row r="163" spans="1:19" s="226" customFormat="1" x14ac:dyDescent="0.2">
      <c r="A163" s="162">
        <v>12</v>
      </c>
      <c r="B163" s="224">
        <f t="shared" si="49"/>
        <v>44531</v>
      </c>
      <c r="C163" s="222">
        <f t="shared" si="57"/>
        <v>44566</v>
      </c>
      <c r="D163" s="222">
        <f t="shared" si="57"/>
        <v>44585</v>
      </c>
      <c r="E163" s="231" t="s">
        <v>55</v>
      </c>
      <c r="F163" s="173">
        <v>9</v>
      </c>
      <c r="G163" s="202">
        <v>94</v>
      </c>
      <c r="H163" s="214">
        <f t="shared" si="50"/>
        <v>3.7029508747261031</v>
      </c>
      <c r="I163" s="214">
        <f t="shared" si="48"/>
        <v>6.1637282811749872</v>
      </c>
      <c r="J163" s="215">
        <f t="shared" si="51"/>
        <v>579.3904584304488</v>
      </c>
      <c r="K163" s="216">
        <f t="shared" si="45"/>
        <v>348.07738222425371</v>
      </c>
      <c r="L163" s="217">
        <f t="shared" si="58"/>
        <v>231.31307620619509</v>
      </c>
      <c r="M163" s="207">
        <f t="shared" si="52"/>
        <v>7.3743767621271967</v>
      </c>
      <c r="N163" s="208">
        <f t="shared" si="53"/>
        <v>238.68745296832228</v>
      </c>
      <c r="O163" s="207">
        <f t="shared" si="54"/>
        <v>0</v>
      </c>
      <c r="P163" s="207">
        <f t="shared" si="55"/>
        <v>0</v>
      </c>
      <c r="Q163" s="207">
        <v>0</v>
      </c>
      <c r="R163" s="208">
        <f t="shared" si="56"/>
        <v>238.68745296832228</v>
      </c>
    </row>
    <row r="164" spans="1:19" x14ac:dyDescent="0.2">
      <c r="A164" s="125">
        <v>1</v>
      </c>
      <c r="B164" s="199">
        <f t="shared" si="49"/>
        <v>44197</v>
      </c>
      <c r="C164" s="219">
        <f t="shared" si="57"/>
        <v>44230</v>
      </c>
      <c r="D164" s="219">
        <f t="shared" si="57"/>
        <v>44251</v>
      </c>
      <c r="E164" s="229" t="s">
        <v>56</v>
      </c>
      <c r="F164" s="125">
        <v>9</v>
      </c>
      <c r="G164" s="202">
        <v>11</v>
      </c>
      <c r="H164" s="203">
        <f t="shared" si="50"/>
        <v>3.7029508747261031</v>
      </c>
      <c r="I164" s="203">
        <f t="shared" si="48"/>
        <v>6.1637282811749872</v>
      </c>
      <c r="J164" s="204">
        <f t="shared" si="51"/>
        <v>67.801011092924853</v>
      </c>
      <c r="K164" s="205">
        <f t="shared" si="45"/>
        <v>40.732459621987132</v>
      </c>
      <c r="L164" s="206">
        <f t="shared" si="58"/>
        <v>27.06855147093772</v>
      </c>
      <c r="M164" s="207">
        <f t="shared" si="52"/>
        <v>0.8629589828021188</v>
      </c>
      <c r="N164" s="208">
        <f t="shared" si="53"/>
        <v>27.93151045373984</v>
      </c>
      <c r="O164" s="207">
        <f t="shared" si="54"/>
        <v>0</v>
      </c>
      <c r="P164" s="207">
        <f t="shared" si="55"/>
        <v>0</v>
      </c>
      <c r="Q164" s="207">
        <v>0</v>
      </c>
      <c r="R164" s="208">
        <f t="shared" si="56"/>
        <v>27.93151045373984</v>
      </c>
    </row>
    <row r="165" spans="1:19" x14ac:dyDescent="0.2">
      <c r="A165" s="162">
        <v>2</v>
      </c>
      <c r="B165" s="199">
        <f t="shared" si="49"/>
        <v>44228</v>
      </c>
      <c r="C165" s="222">
        <f t="shared" si="57"/>
        <v>44258</v>
      </c>
      <c r="D165" s="222">
        <f t="shared" si="57"/>
        <v>44279</v>
      </c>
      <c r="E165" s="230" t="s">
        <v>56</v>
      </c>
      <c r="F165" s="162">
        <v>9</v>
      </c>
      <c r="G165" s="202">
        <v>8</v>
      </c>
      <c r="H165" s="203">
        <f t="shared" si="50"/>
        <v>3.7029508747261031</v>
      </c>
      <c r="I165" s="203">
        <f t="shared" si="48"/>
        <v>6.1637282811749872</v>
      </c>
      <c r="J165" s="204">
        <f t="shared" si="51"/>
        <v>49.309826249399897</v>
      </c>
      <c r="K165" s="205">
        <f t="shared" si="45"/>
        <v>29.623606997808825</v>
      </c>
      <c r="L165" s="206">
        <f t="shared" si="58"/>
        <v>19.686219251591073</v>
      </c>
      <c r="M165" s="207">
        <f t="shared" si="52"/>
        <v>0.62760653294699542</v>
      </c>
      <c r="N165" s="208">
        <f t="shared" si="53"/>
        <v>20.313825784538068</v>
      </c>
      <c r="O165" s="207">
        <f t="shared" si="54"/>
        <v>0</v>
      </c>
      <c r="P165" s="207">
        <f t="shared" si="55"/>
        <v>0</v>
      </c>
      <c r="Q165" s="207">
        <v>0</v>
      </c>
      <c r="R165" s="208">
        <f t="shared" si="56"/>
        <v>20.313825784538068</v>
      </c>
    </row>
    <row r="166" spans="1:19" x14ac:dyDescent="0.2">
      <c r="A166" s="162">
        <v>3</v>
      </c>
      <c r="B166" s="199">
        <f t="shared" si="49"/>
        <v>44256</v>
      </c>
      <c r="C166" s="222">
        <f t="shared" si="57"/>
        <v>44291</v>
      </c>
      <c r="D166" s="222">
        <f t="shared" si="57"/>
        <v>44312</v>
      </c>
      <c r="E166" s="230" t="s">
        <v>56</v>
      </c>
      <c r="F166" s="162">
        <v>9</v>
      </c>
      <c r="G166" s="202">
        <v>7</v>
      </c>
      <c r="H166" s="203">
        <f t="shared" si="50"/>
        <v>3.7029508747261031</v>
      </c>
      <c r="I166" s="203">
        <f t="shared" si="48"/>
        <v>6.1637282811749872</v>
      </c>
      <c r="J166" s="204">
        <f t="shared" si="51"/>
        <v>43.146097968224908</v>
      </c>
      <c r="K166" s="205">
        <f t="shared" si="45"/>
        <v>25.920656123082722</v>
      </c>
      <c r="L166" s="206">
        <f>+J166-K166</f>
        <v>17.225441845142186</v>
      </c>
      <c r="M166" s="207">
        <f t="shared" si="52"/>
        <v>0.54915571632862104</v>
      </c>
      <c r="N166" s="208">
        <f t="shared" si="53"/>
        <v>17.774597561470806</v>
      </c>
      <c r="O166" s="207">
        <f t="shared" si="54"/>
        <v>0</v>
      </c>
      <c r="P166" s="207">
        <f t="shared" si="55"/>
        <v>0</v>
      </c>
      <c r="Q166" s="207">
        <v>0</v>
      </c>
      <c r="R166" s="208">
        <f t="shared" si="56"/>
        <v>17.774597561470806</v>
      </c>
    </row>
    <row r="167" spans="1:19" x14ac:dyDescent="0.2">
      <c r="A167" s="125">
        <v>4</v>
      </c>
      <c r="B167" s="199">
        <f t="shared" si="49"/>
        <v>44287</v>
      </c>
      <c r="C167" s="222">
        <f t="shared" si="57"/>
        <v>44321</v>
      </c>
      <c r="D167" s="222">
        <f t="shared" si="57"/>
        <v>44340</v>
      </c>
      <c r="E167" s="230" t="s">
        <v>56</v>
      </c>
      <c r="F167" s="162">
        <v>9</v>
      </c>
      <c r="G167" s="202">
        <v>12</v>
      </c>
      <c r="H167" s="203">
        <f t="shared" si="50"/>
        <v>3.7029508747261031</v>
      </c>
      <c r="I167" s="203">
        <f t="shared" si="48"/>
        <v>6.1637282811749872</v>
      </c>
      <c r="J167" s="204">
        <f t="shared" si="51"/>
        <v>73.96473937409985</v>
      </c>
      <c r="K167" s="205">
        <f t="shared" si="45"/>
        <v>44.435410496713239</v>
      </c>
      <c r="L167" s="206">
        <f t="shared" ref="L167:L177" si="59">+J167-K167</f>
        <v>29.529328877386611</v>
      </c>
      <c r="M167" s="207">
        <f t="shared" si="52"/>
        <v>0.94140979942049319</v>
      </c>
      <c r="N167" s="208">
        <f t="shared" si="53"/>
        <v>30.470738676807105</v>
      </c>
      <c r="O167" s="207">
        <f t="shared" si="54"/>
        <v>0</v>
      </c>
      <c r="P167" s="207">
        <f t="shared" si="55"/>
        <v>0</v>
      </c>
      <c r="Q167" s="207">
        <v>0</v>
      </c>
      <c r="R167" s="208">
        <f t="shared" si="56"/>
        <v>30.470738676807105</v>
      </c>
    </row>
    <row r="168" spans="1:19" x14ac:dyDescent="0.2">
      <c r="A168" s="162">
        <v>5</v>
      </c>
      <c r="B168" s="199">
        <f t="shared" si="49"/>
        <v>44317</v>
      </c>
      <c r="C168" s="222">
        <f t="shared" si="57"/>
        <v>44350</v>
      </c>
      <c r="D168" s="222">
        <f t="shared" si="57"/>
        <v>44371</v>
      </c>
      <c r="E168" s="230" t="s">
        <v>56</v>
      </c>
      <c r="F168" s="162">
        <v>9</v>
      </c>
      <c r="G168" s="202">
        <v>11</v>
      </c>
      <c r="H168" s="203">
        <f t="shared" si="50"/>
        <v>3.7029508747261031</v>
      </c>
      <c r="I168" s="203">
        <f t="shared" si="48"/>
        <v>6.1637282811749872</v>
      </c>
      <c r="J168" s="204">
        <f t="shared" si="51"/>
        <v>67.801011092924853</v>
      </c>
      <c r="K168" s="205">
        <f t="shared" si="45"/>
        <v>40.732459621987132</v>
      </c>
      <c r="L168" s="206">
        <f t="shared" si="59"/>
        <v>27.06855147093772</v>
      </c>
      <c r="M168" s="207">
        <f t="shared" si="52"/>
        <v>0.8629589828021188</v>
      </c>
      <c r="N168" s="208">
        <f t="shared" si="53"/>
        <v>27.93151045373984</v>
      </c>
      <c r="O168" s="207">
        <f t="shared" si="54"/>
        <v>0</v>
      </c>
      <c r="P168" s="207">
        <f t="shared" si="55"/>
        <v>0</v>
      </c>
      <c r="Q168" s="207">
        <v>0</v>
      </c>
      <c r="R168" s="208">
        <f t="shared" si="56"/>
        <v>27.93151045373984</v>
      </c>
    </row>
    <row r="169" spans="1:19" x14ac:dyDescent="0.2">
      <c r="A169" s="162">
        <v>6</v>
      </c>
      <c r="B169" s="199">
        <f t="shared" si="49"/>
        <v>44348</v>
      </c>
      <c r="C169" s="222">
        <f t="shared" si="57"/>
        <v>44383</v>
      </c>
      <c r="D169" s="222">
        <f t="shared" si="57"/>
        <v>44401</v>
      </c>
      <c r="E169" s="230" t="s">
        <v>56</v>
      </c>
      <c r="F169" s="162">
        <v>9</v>
      </c>
      <c r="G169" s="202">
        <v>13</v>
      </c>
      <c r="H169" s="203">
        <f t="shared" si="50"/>
        <v>3.7029508747261031</v>
      </c>
      <c r="I169" s="203">
        <f t="shared" si="48"/>
        <v>6.1637282811749872</v>
      </c>
      <c r="J169" s="204">
        <f t="shared" si="51"/>
        <v>80.128467655274832</v>
      </c>
      <c r="K169" s="205">
        <f t="shared" si="45"/>
        <v>48.138361371439338</v>
      </c>
      <c r="L169" s="210">
        <f t="shared" si="59"/>
        <v>31.990106283835495</v>
      </c>
      <c r="M169" s="207">
        <f t="shared" si="52"/>
        <v>1.0198606160388677</v>
      </c>
      <c r="N169" s="208">
        <f t="shared" si="53"/>
        <v>33.009966899874364</v>
      </c>
      <c r="O169" s="207">
        <f t="shared" si="54"/>
        <v>0</v>
      </c>
      <c r="P169" s="207">
        <f t="shared" si="55"/>
        <v>0</v>
      </c>
      <c r="Q169" s="207">
        <v>0</v>
      </c>
      <c r="R169" s="208">
        <f t="shared" si="56"/>
        <v>33.009966899874364</v>
      </c>
    </row>
    <row r="170" spans="1:19" x14ac:dyDescent="0.2">
      <c r="A170" s="125">
        <v>7</v>
      </c>
      <c r="B170" s="199">
        <f t="shared" si="49"/>
        <v>44378</v>
      </c>
      <c r="C170" s="222">
        <f t="shared" si="57"/>
        <v>44412</v>
      </c>
      <c r="D170" s="222">
        <f t="shared" si="57"/>
        <v>44432</v>
      </c>
      <c r="E170" s="230" t="s">
        <v>56</v>
      </c>
      <c r="F170" s="162">
        <v>9</v>
      </c>
      <c r="G170" s="202">
        <v>13</v>
      </c>
      <c r="H170" s="203">
        <f t="shared" si="50"/>
        <v>3.7029508747261031</v>
      </c>
      <c r="I170" s="203">
        <f t="shared" si="48"/>
        <v>6.1637282811749872</v>
      </c>
      <c r="J170" s="204">
        <f t="shared" si="51"/>
        <v>80.128467655274832</v>
      </c>
      <c r="K170" s="211">
        <f t="shared" si="45"/>
        <v>48.138361371439338</v>
      </c>
      <c r="L170" s="210">
        <f t="shared" si="59"/>
        <v>31.990106283835495</v>
      </c>
      <c r="M170" s="207">
        <f t="shared" si="52"/>
        <v>1.0198606160388677</v>
      </c>
      <c r="N170" s="208">
        <f t="shared" si="53"/>
        <v>33.009966899874364</v>
      </c>
      <c r="O170" s="207">
        <f t="shared" si="54"/>
        <v>0</v>
      </c>
      <c r="P170" s="207">
        <f t="shared" si="55"/>
        <v>0</v>
      </c>
      <c r="Q170" s="207">
        <v>0</v>
      </c>
      <c r="R170" s="208">
        <f t="shared" si="56"/>
        <v>33.009966899874364</v>
      </c>
    </row>
    <row r="171" spans="1:19" x14ac:dyDescent="0.2">
      <c r="A171" s="162">
        <v>8</v>
      </c>
      <c r="B171" s="199">
        <f t="shared" si="49"/>
        <v>44409</v>
      </c>
      <c r="C171" s="222">
        <f t="shared" si="57"/>
        <v>44442</v>
      </c>
      <c r="D171" s="222">
        <f t="shared" si="57"/>
        <v>44463</v>
      </c>
      <c r="E171" s="230" t="s">
        <v>56</v>
      </c>
      <c r="F171" s="125">
        <v>9</v>
      </c>
      <c r="G171" s="202">
        <v>12</v>
      </c>
      <c r="H171" s="203">
        <f t="shared" si="50"/>
        <v>3.7029508747261031</v>
      </c>
      <c r="I171" s="203">
        <f t="shared" si="48"/>
        <v>6.1637282811749872</v>
      </c>
      <c r="J171" s="204">
        <f t="shared" si="51"/>
        <v>73.96473937409985</v>
      </c>
      <c r="K171" s="211">
        <f t="shared" si="45"/>
        <v>44.435410496713239</v>
      </c>
      <c r="L171" s="210">
        <f t="shared" si="59"/>
        <v>29.529328877386611</v>
      </c>
      <c r="M171" s="207">
        <f t="shared" si="52"/>
        <v>0.94140979942049319</v>
      </c>
      <c r="N171" s="208">
        <f t="shared" si="53"/>
        <v>30.470738676807105</v>
      </c>
      <c r="O171" s="207">
        <f t="shared" si="54"/>
        <v>0</v>
      </c>
      <c r="P171" s="207">
        <f t="shared" si="55"/>
        <v>0</v>
      </c>
      <c r="Q171" s="207">
        <v>0</v>
      </c>
      <c r="R171" s="208">
        <f t="shared" si="56"/>
        <v>30.470738676807105</v>
      </c>
      <c r="S171" s="52"/>
    </row>
    <row r="172" spans="1:19" x14ac:dyDescent="0.2">
      <c r="A172" s="162">
        <v>9</v>
      </c>
      <c r="B172" s="199">
        <f t="shared" si="49"/>
        <v>44440</v>
      </c>
      <c r="C172" s="222">
        <f t="shared" ref="C172:D175" si="60">+C160</f>
        <v>44474</v>
      </c>
      <c r="D172" s="222">
        <f t="shared" si="60"/>
        <v>44494</v>
      </c>
      <c r="E172" s="230" t="s">
        <v>56</v>
      </c>
      <c r="F172" s="125">
        <v>9</v>
      </c>
      <c r="G172" s="202">
        <v>13</v>
      </c>
      <c r="H172" s="203">
        <f t="shared" si="50"/>
        <v>3.7029508747261031</v>
      </c>
      <c r="I172" s="203">
        <f t="shared" si="48"/>
        <v>6.1637282811749872</v>
      </c>
      <c r="J172" s="204">
        <f t="shared" si="51"/>
        <v>80.128467655274832</v>
      </c>
      <c r="K172" s="211">
        <f t="shared" si="45"/>
        <v>48.138361371439338</v>
      </c>
      <c r="L172" s="210">
        <f t="shared" si="59"/>
        <v>31.990106283835495</v>
      </c>
      <c r="M172" s="207">
        <f t="shared" si="52"/>
        <v>1.0198606160388677</v>
      </c>
      <c r="N172" s="208">
        <f t="shared" si="53"/>
        <v>33.009966899874364</v>
      </c>
      <c r="O172" s="207">
        <f t="shared" si="54"/>
        <v>0</v>
      </c>
      <c r="P172" s="207">
        <f t="shared" si="55"/>
        <v>0</v>
      </c>
      <c r="Q172" s="207">
        <v>0</v>
      </c>
      <c r="R172" s="208">
        <f t="shared" si="56"/>
        <v>33.009966899874364</v>
      </c>
    </row>
    <row r="173" spans="1:19" x14ac:dyDescent="0.2">
      <c r="A173" s="125">
        <v>10</v>
      </c>
      <c r="B173" s="199">
        <f t="shared" si="49"/>
        <v>44470</v>
      </c>
      <c r="C173" s="222">
        <f t="shared" si="60"/>
        <v>44503</v>
      </c>
      <c r="D173" s="222">
        <f t="shared" si="60"/>
        <v>44524</v>
      </c>
      <c r="E173" s="230" t="s">
        <v>56</v>
      </c>
      <c r="F173" s="125">
        <v>9</v>
      </c>
      <c r="G173" s="202">
        <v>8</v>
      </c>
      <c r="H173" s="203">
        <f t="shared" si="50"/>
        <v>3.7029508747261031</v>
      </c>
      <c r="I173" s="203">
        <f t="shared" si="48"/>
        <v>6.1637282811749872</v>
      </c>
      <c r="J173" s="204">
        <f t="shared" si="51"/>
        <v>49.309826249399897</v>
      </c>
      <c r="K173" s="211">
        <f t="shared" si="45"/>
        <v>29.623606997808825</v>
      </c>
      <c r="L173" s="210">
        <f t="shared" si="59"/>
        <v>19.686219251591073</v>
      </c>
      <c r="M173" s="207">
        <f t="shared" si="52"/>
        <v>0.62760653294699542</v>
      </c>
      <c r="N173" s="208">
        <f t="shared" si="53"/>
        <v>20.313825784538068</v>
      </c>
      <c r="O173" s="207">
        <f t="shared" si="54"/>
        <v>0</v>
      </c>
      <c r="P173" s="207">
        <f t="shared" si="55"/>
        <v>0</v>
      </c>
      <c r="Q173" s="207">
        <v>0</v>
      </c>
      <c r="R173" s="208">
        <f t="shared" si="56"/>
        <v>20.313825784538068</v>
      </c>
    </row>
    <row r="174" spans="1:19" x14ac:dyDescent="0.2">
      <c r="A174" s="162">
        <v>11</v>
      </c>
      <c r="B174" s="199">
        <f t="shared" si="49"/>
        <v>44501</v>
      </c>
      <c r="C174" s="222">
        <f t="shared" si="60"/>
        <v>44533</v>
      </c>
      <c r="D174" s="222">
        <f t="shared" si="60"/>
        <v>44557</v>
      </c>
      <c r="E174" s="230" t="s">
        <v>56</v>
      </c>
      <c r="F174" s="125">
        <v>9</v>
      </c>
      <c r="G174" s="202">
        <v>8</v>
      </c>
      <c r="H174" s="203">
        <f t="shared" si="50"/>
        <v>3.7029508747261031</v>
      </c>
      <c r="I174" s="203">
        <f t="shared" si="48"/>
        <v>6.1637282811749872</v>
      </c>
      <c r="J174" s="204">
        <f t="shared" si="51"/>
        <v>49.309826249399897</v>
      </c>
      <c r="K174" s="211">
        <f t="shared" si="45"/>
        <v>29.623606997808825</v>
      </c>
      <c r="L174" s="210">
        <f t="shared" si="59"/>
        <v>19.686219251591073</v>
      </c>
      <c r="M174" s="207">
        <f t="shared" si="52"/>
        <v>0.62760653294699542</v>
      </c>
      <c r="N174" s="208">
        <f t="shared" si="53"/>
        <v>20.313825784538068</v>
      </c>
      <c r="O174" s="207">
        <f t="shared" si="54"/>
        <v>0</v>
      </c>
      <c r="P174" s="207">
        <f t="shared" si="55"/>
        <v>0</v>
      </c>
      <c r="Q174" s="207">
        <v>0</v>
      </c>
      <c r="R174" s="208">
        <f t="shared" si="56"/>
        <v>20.313825784538068</v>
      </c>
    </row>
    <row r="175" spans="1:19" s="226" customFormat="1" x14ac:dyDescent="0.2">
      <c r="A175" s="162">
        <v>12</v>
      </c>
      <c r="B175" s="224">
        <f t="shared" si="49"/>
        <v>44531</v>
      </c>
      <c r="C175" s="222">
        <f t="shared" si="60"/>
        <v>44566</v>
      </c>
      <c r="D175" s="222">
        <f t="shared" si="60"/>
        <v>44585</v>
      </c>
      <c r="E175" s="231" t="s">
        <v>56</v>
      </c>
      <c r="F175" s="173">
        <v>9</v>
      </c>
      <c r="G175" s="202">
        <v>11</v>
      </c>
      <c r="H175" s="214">
        <f t="shared" si="50"/>
        <v>3.7029508747261031</v>
      </c>
      <c r="I175" s="214">
        <f t="shared" si="48"/>
        <v>6.1637282811749872</v>
      </c>
      <c r="J175" s="215">
        <f t="shared" si="51"/>
        <v>67.801011092924853</v>
      </c>
      <c r="K175" s="216">
        <f t="shared" si="45"/>
        <v>40.732459621987132</v>
      </c>
      <c r="L175" s="217">
        <f t="shared" si="59"/>
        <v>27.06855147093772</v>
      </c>
      <c r="M175" s="207">
        <f t="shared" si="52"/>
        <v>0.8629589828021188</v>
      </c>
      <c r="N175" s="208">
        <f t="shared" si="53"/>
        <v>27.93151045373984</v>
      </c>
      <c r="O175" s="207">
        <f t="shared" si="54"/>
        <v>0</v>
      </c>
      <c r="P175" s="207">
        <f t="shared" si="55"/>
        <v>0</v>
      </c>
      <c r="Q175" s="207">
        <v>0</v>
      </c>
      <c r="R175" s="208">
        <f t="shared" si="56"/>
        <v>27.93151045373984</v>
      </c>
    </row>
    <row r="176" spans="1:19" x14ac:dyDescent="0.2">
      <c r="A176" s="125">
        <v>1</v>
      </c>
      <c r="B176" s="199">
        <f t="shared" si="49"/>
        <v>44197</v>
      </c>
      <c r="C176" s="219">
        <f t="shared" ref="C176:D187" si="61">+C152</f>
        <v>44230</v>
      </c>
      <c r="D176" s="219">
        <f t="shared" si="61"/>
        <v>44251</v>
      </c>
      <c r="E176" s="229" t="s">
        <v>57</v>
      </c>
      <c r="F176" s="162">
        <v>9</v>
      </c>
      <c r="G176" s="202">
        <v>20</v>
      </c>
      <c r="H176" s="203">
        <f t="shared" si="50"/>
        <v>3.7029508747261031</v>
      </c>
      <c r="I176" s="203">
        <f t="shared" si="48"/>
        <v>6.1637282811749872</v>
      </c>
      <c r="J176" s="204">
        <f t="shared" si="51"/>
        <v>123.27456562349974</v>
      </c>
      <c r="K176" s="205">
        <f t="shared" si="45"/>
        <v>74.059017494522067</v>
      </c>
      <c r="L176" s="206">
        <f t="shared" si="59"/>
        <v>49.215548128977673</v>
      </c>
      <c r="M176" s="207">
        <f t="shared" si="52"/>
        <v>1.5690163323674886</v>
      </c>
      <c r="N176" s="208">
        <f t="shared" si="53"/>
        <v>50.784564461345163</v>
      </c>
      <c r="O176" s="207">
        <f t="shared" si="54"/>
        <v>0</v>
      </c>
      <c r="P176" s="207">
        <f t="shared" si="55"/>
        <v>0</v>
      </c>
      <c r="Q176" s="207">
        <v>0</v>
      </c>
      <c r="R176" s="208">
        <f t="shared" si="56"/>
        <v>50.784564461345163</v>
      </c>
    </row>
    <row r="177" spans="1:18" x14ac:dyDescent="0.2">
      <c r="A177" s="162">
        <v>2</v>
      </c>
      <c r="B177" s="199">
        <f t="shared" si="49"/>
        <v>44228</v>
      </c>
      <c r="C177" s="222">
        <f t="shared" si="61"/>
        <v>44258</v>
      </c>
      <c r="D177" s="222">
        <f t="shared" si="61"/>
        <v>44279</v>
      </c>
      <c r="E177" s="54" t="s">
        <v>57</v>
      </c>
      <c r="F177" s="162">
        <v>9</v>
      </c>
      <c r="G177" s="202">
        <v>23</v>
      </c>
      <c r="H177" s="203">
        <f t="shared" si="50"/>
        <v>3.7029508747261031</v>
      </c>
      <c r="I177" s="203">
        <f t="shared" si="48"/>
        <v>6.1637282811749872</v>
      </c>
      <c r="J177" s="204">
        <f t="shared" si="51"/>
        <v>141.7657504670247</v>
      </c>
      <c r="K177" s="205">
        <f t="shared" si="45"/>
        <v>85.167870118700364</v>
      </c>
      <c r="L177" s="206">
        <f t="shared" si="59"/>
        <v>56.597880348324338</v>
      </c>
      <c r="M177" s="207">
        <f t="shared" si="52"/>
        <v>1.804368782222612</v>
      </c>
      <c r="N177" s="208">
        <f t="shared" si="53"/>
        <v>58.402249130546949</v>
      </c>
      <c r="O177" s="207">
        <f t="shared" si="54"/>
        <v>0</v>
      </c>
      <c r="P177" s="207">
        <f t="shared" si="55"/>
        <v>0</v>
      </c>
      <c r="Q177" s="207">
        <v>0</v>
      </c>
      <c r="R177" s="208">
        <f t="shared" si="56"/>
        <v>58.402249130546949</v>
      </c>
    </row>
    <row r="178" spans="1:18" x14ac:dyDescent="0.2">
      <c r="A178" s="162">
        <v>3</v>
      </c>
      <c r="B178" s="199">
        <f t="shared" si="49"/>
        <v>44256</v>
      </c>
      <c r="C178" s="222">
        <f t="shared" si="61"/>
        <v>44291</v>
      </c>
      <c r="D178" s="222">
        <f t="shared" si="61"/>
        <v>44312</v>
      </c>
      <c r="E178" s="54" t="s">
        <v>57</v>
      </c>
      <c r="F178" s="162">
        <v>9</v>
      </c>
      <c r="G178" s="202">
        <v>16</v>
      </c>
      <c r="H178" s="203">
        <f t="shared" si="50"/>
        <v>3.7029508747261031</v>
      </c>
      <c r="I178" s="203">
        <f t="shared" si="48"/>
        <v>6.1637282811749872</v>
      </c>
      <c r="J178" s="204">
        <f t="shared" si="51"/>
        <v>98.619652498799795</v>
      </c>
      <c r="K178" s="205">
        <f t="shared" si="45"/>
        <v>59.247213995617649</v>
      </c>
      <c r="L178" s="206">
        <f>+J178-K178</f>
        <v>39.372438503182146</v>
      </c>
      <c r="M178" s="207">
        <f t="shared" si="52"/>
        <v>1.2552130658939908</v>
      </c>
      <c r="N178" s="208">
        <f t="shared" si="53"/>
        <v>40.627651569076136</v>
      </c>
      <c r="O178" s="207">
        <f t="shared" si="54"/>
        <v>0</v>
      </c>
      <c r="P178" s="207">
        <f t="shared" si="55"/>
        <v>0</v>
      </c>
      <c r="Q178" s="207">
        <v>0</v>
      </c>
      <c r="R178" s="208">
        <f t="shared" si="56"/>
        <v>40.627651569076136</v>
      </c>
    </row>
    <row r="179" spans="1:18" x14ac:dyDescent="0.2">
      <c r="A179" s="125">
        <v>4</v>
      </c>
      <c r="B179" s="199">
        <f t="shared" si="49"/>
        <v>44287</v>
      </c>
      <c r="C179" s="222">
        <f t="shared" si="61"/>
        <v>44321</v>
      </c>
      <c r="D179" s="222">
        <f t="shared" si="61"/>
        <v>44340</v>
      </c>
      <c r="E179" s="54" t="s">
        <v>57</v>
      </c>
      <c r="F179" s="162">
        <v>9</v>
      </c>
      <c r="G179" s="202">
        <v>20</v>
      </c>
      <c r="H179" s="203">
        <f t="shared" si="50"/>
        <v>3.7029508747261031</v>
      </c>
      <c r="I179" s="203">
        <f t="shared" si="48"/>
        <v>6.1637282811749872</v>
      </c>
      <c r="J179" s="204">
        <f t="shared" si="51"/>
        <v>123.27456562349974</v>
      </c>
      <c r="K179" s="205">
        <f t="shared" si="45"/>
        <v>74.059017494522067</v>
      </c>
      <c r="L179" s="206">
        <f t="shared" ref="L179:L189" si="62">+J179-K179</f>
        <v>49.215548128977673</v>
      </c>
      <c r="M179" s="207">
        <f t="shared" si="52"/>
        <v>1.5690163323674886</v>
      </c>
      <c r="N179" s="208">
        <f t="shared" si="53"/>
        <v>50.784564461345163</v>
      </c>
      <c r="O179" s="207">
        <f t="shared" si="54"/>
        <v>0</v>
      </c>
      <c r="P179" s="207">
        <f t="shared" si="55"/>
        <v>0</v>
      </c>
      <c r="Q179" s="207">
        <v>0</v>
      </c>
      <c r="R179" s="208">
        <f t="shared" si="56"/>
        <v>50.784564461345163</v>
      </c>
    </row>
    <row r="180" spans="1:18" x14ac:dyDescent="0.2">
      <c r="A180" s="162">
        <v>5</v>
      </c>
      <c r="B180" s="199">
        <f t="shared" si="49"/>
        <v>44317</v>
      </c>
      <c r="C180" s="222">
        <f t="shared" si="61"/>
        <v>44350</v>
      </c>
      <c r="D180" s="222">
        <f t="shared" si="61"/>
        <v>44371</v>
      </c>
      <c r="E180" s="54" t="s">
        <v>57</v>
      </c>
      <c r="F180" s="162">
        <v>9</v>
      </c>
      <c r="G180" s="202">
        <v>27</v>
      </c>
      <c r="H180" s="203">
        <f t="shared" si="50"/>
        <v>3.7029508747261031</v>
      </c>
      <c r="I180" s="203">
        <f t="shared" ref="I180:I211" si="63">$J$3</f>
        <v>6.1637282811749872</v>
      </c>
      <c r="J180" s="204">
        <f t="shared" si="51"/>
        <v>166.42066359172466</v>
      </c>
      <c r="K180" s="205">
        <f t="shared" si="45"/>
        <v>99.979673617604789</v>
      </c>
      <c r="L180" s="206">
        <f t="shared" si="62"/>
        <v>66.440989974119873</v>
      </c>
      <c r="M180" s="207">
        <f t="shared" si="52"/>
        <v>2.1181720486961098</v>
      </c>
      <c r="N180" s="208">
        <f t="shared" si="53"/>
        <v>68.559162022815983</v>
      </c>
      <c r="O180" s="207">
        <f t="shared" si="54"/>
        <v>0</v>
      </c>
      <c r="P180" s="207">
        <f t="shared" si="55"/>
        <v>0</v>
      </c>
      <c r="Q180" s="207">
        <v>0</v>
      </c>
      <c r="R180" s="208">
        <f t="shared" si="56"/>
        <v>68.559162022815983</v>
      </c>
    </row>
    <row r="181" spans="1:18" x14ac:dyDescent="0.2">
      <c r="A181" s="162">
        <v>6</v>
      </c>
      <c r="B181" s="199">
        <f t="shared" si="49"/>
        <v>44348</v>
      </c>
      <c r="C181" s="222">
        <f t="shared" si="61"/>
        <v>44383</v>
      </c>
      <c r="D181" s="222">
        <f t="shared" si="61"/>
        <v>44401</v>
      </c>
      <c r="E181" s="54" t="s">
        <v>57</v>
      </c>
      <c r="F181" s="162">
        <v>9</v>
      </c>
      <c r="G181" s="202">
        <v>32</v>
      </c>
      <c r="H181" s="203">
        <f t="shared" si="50"/>
        <v>3.7029508747261031</v>
      </c>
      <c r="I181" s="203">
        <f t="shared" si="63"/>
        <v>6.1637282811749872</v>
      </c>
      <c r="J181" s="204">
        <f t="shared" si="51"/>
        <v>197.23930499759959</v>
      </c>
      <c r="K181" s="205">
        <f t="shared" si="45"/>
        <v>118.4944279912353</v>
      </c>
      <c r="L181" s="210">
        <f t="shared" si="62"/>
        <v>78.744877006364291</v>
      </c>
      <c r="M181" s="207">
        <f t="shared" si="52"/>
        <v>2.5104261317879817</v>
      </c>
      <c r="N181" s="208">
        <f t="shared" si="53"/>
        <v>81.255303138152271</v>
      </c>
      <c r="O181" s="207">
        <f t="shared" si="54"/>
        <v>0</v>
      </c>
      <c r="P181" s="207">
        <f t="shared" si="55"/>
        <v>0</v>
      </c>
      <c r="Q181" s="207">
        <v>0</v>
      </c>
      <c r="R181" s="208">
        <f t="shared" si="56"/>
        <v>81.255303138152271</v>
      </c>
    </row>
    <row r="182" spans="1:18" x14ac:dyDescent="0.2">
      <c r="A182" s="125">
        <v>7</v>
      </c>
      <c r="B182" s="199">
        <f t="shared" si="49"/>
        <v>44378</v>
      </c>
      <c r="C182" s="222">
        <f t="shared" si="61"/>
        <v>44412</v>
      </c>
      <c r="D182" s="222">
        <f t="shared" si="61"/>
        <v>44432</v>
      </c>
      <c r="E182" s="54" t="s">
        <v>57</v>
      </c>
      <c r="F182" s="162">
        <v>9</v>
      </c>
      <c r="G182" s="202">
        <v>37</v>
      </c>
      <c r="H182" s="203">
        <f t="shared" si="50"/>
        <v>3.7029508747261031</v>
      </c>
      <c r="I182" s="203">
        <f t="shared" si="63"/>
        <v>6.1637282811749872</v>
      </c>
      <c r="J182" s="204">
        <f t="shared" si="51"/>
        <v>228.05794640347452</v>
      </c>
      <c r="K182" s="211">
        <f t="shared" si="45"/>
        <v>137.00918236486581</v>
      </c>
      <c r="L182" s="210">
        <f t="shared" si="62"/>
        <v>91.048764038608709</v>
      </c>
      <c r="M182" s="207">
        <f t="shared" si="52"/>
        <v>2.9026802148798541</v>
      </c>
      <c r="N182" s="208">
        <f t="shared" si="53"/>
        <v>93.95144425348856</v>
      </c>
      <c r="O182" s="207">
        <f t="shared" si="54"/>
        <v>0</v>
      </c>
      <c r="P182" s="207">
        <f t="shared" si="55"/>
        <v>0</v>
      </c>
      <c r="Q182" s="207">
        <v>0</v>
      </c>
      <c r="R182" s="208">
        <f t="shared" si="56"/>
        <v>93.95144425348856</v>
      </c>
    </row>
    <row r="183" spans="1:18" x14ac:dyDescent="0.2">
      <c r="A183" s="162">
        <v>8</v>
      </c>
      <c r="B183" s="199">
        <f t="shared" si="49"/>
        <v>44409</v>
      </c>
      <c r="C183" s="222">
        <f t="shared" si="61"/>
        <v>44442</v>
      </c>
      <c r="D183" s="222">
        <f t="shared" si="61"/>
        <v>44463</v>
      </c>
      <c r="E183" s="54" t="s">
        <v>57</v>
      </c>
      <c r="F183" s="162">
        <v>9</v>
      </c>
      <c r="G183" s="202">
        <v>33</v>
      </c>
      <c r="H183" s="203">
        <f t="shared" si="50"/>
        <v>3.7029508747261031</v>
      </c>
      <c r="I183" s="203">
        <f t="shared" si="63"/>
        <v>6.1637282811749872</v>
      </c>
      <c r="J183" s="204">
        <f t="shared" si="51"/>
        <v>203.40303327877459</v>
      </c>
      <c r="K183" s="211">
        <f t="shared" si="45"/>
        <v>122.1973788659614</v>
      </c>
      <c r="L183" s="210">
        <f t="shared" si="62"/>
        <v>81.205654412813189</v>
      </c>
      <c r="M183" s="207">
        <f t="shared" si="52"/>
        <v>2.5888769484063561</v>
      </c>
      <c r="N183" s="208">
        <f t="shared" si="53"/>
        <v>83.794531361219541</v>
      </c>
      <c r="O183" s="207">
        <f t="shared" si="54"/>
        <v>0</v>
      </c>
      <c r="P183" s="207">
        <f t="shared" si="55"/>
        <v>0</v>
      </c>
      <c r="Q183" s="207">
        <v>0</v>
      </c>
      <c r="R183" s="208">
        <f t="shared" si="56"/>
        <v>83.794531361219541</v>
      </c>
    </row>
    <row r="184" spans="1:18" x14ac:dyDescent="0.2">
      <c r="A184" s="162">
        <v>9</v>
      </c>
      <c r="B184" s="199">
        <f t="shared" si="49"/>
        <v>44440</v>
      </c>
      <c r="C184" s="222">
        <f t="shared" si="61"/>
        <v>44474</v>
      </c>
      <c r="D184" s="222">
        <f t="shared" si="61"/>
        <v>44494</v>
      </c>
      <c r="E184" s="54" t="s">
        <v>57</v>
      </c>
      <c r="F184" s="162">
        <v>9</v>
      </c>
      <c r="G184" s="202">
        <v>37</v>
      </c>
      <c r="H184" s="203">
        <f t="shared" si="50"/>
        <v>3.7029508747261031</v>
      </c>
      <c r="I184" s="203">
        <f t="shared" si="63"/>
        <v>6.1637282811749872</v>
      </c>
      <c r="J184" s="204">
        <f t="shared" si="51"/>
        <v>228.05794640347452</v>
      </c>
      <c r="K184" s="211">
        <f t="shared" si="45"/>
        <v>137.00918236486581</v>
      </c>
      <c r="L184" s="210">
        <f t="shared" si="62"/>
        <v>91.048764038608709</v>
      </c>
      <c r="M184" s="207">
        <f t="shared" si="52"/>
        <v>2.9026802148798541</v>
      </c>
      <c r="N184" s="208">
        <f t="shared" si="53"/>
        <v>93.95144425348856</v>
      </c>
      <c r="O184" s="207">
        <f t="shared" si="54"/>
        <v>0</v>
      </c>
      <c r="P184" s="207">
        <f t="shared" si="55"/>
        <v>0</v>
      </c>
      <c r="Q184" s="207">
        <v>0</v>
      </c>
      <c r="R184" s="208">
        <f t="shared" si="56"/>
        <v>93.95144425348856</v>
      </c>
    </row>
    <row r="185" spans="1:18" x14ac:dyDescent="0.2">
      <c r="A185" s="125">
        <v>10</v>
      </c>
      <c r="B185" s="199">
        <f t="shared" si="49"/>
        <v>44470</v>
      </c>
      <c r="C185" s="222">
        <f t="shared" si="61"/>
        <v>44503</v>
      </c>
      <c r="D185" s="222">
        <f t="shared" si="61"/>
        <v>44524</v>
      </c>
      <c r="E185" s="54" t="s">
        <v>57</v>
      </c>
      <c r="F185" s="162">
        <v>9</v>
      </c>
      <c r="G185" s="202">
        <v>27</v>
      </c>
      <c r="H185" s="203">
        <f t="shared" si="50"/>
        <v>3.7029508747261031</v>
      </c>
      <c r="I185" s="203">
        <f t="shared" si="63"/>
        <v>6.1637282811749872</v>
      </c>
      <c r="J185" s="204">
        <f t="shared" si="51"/>
        <v>166.42066359172466</v>
      </c>
      <c r="K185" s="211">
        <f t="shared" si="45"/>
        <v>99.979673617604789</v>
      </c>
      <c r="L185" s="210">
        <f t="shared" si="62"/>
        <v>66.440989974119873</v>
      </c>
      <c r="M185" s="207">
        <f t="shared" si="52"/>
        <v>2.1181720486961098</v>
      </c>
      <c r="N185" s="208">
        <f t="shared" si="53"/>
        <v>68.559162022815983</v>
      </c>
      <c r="O185" s="207">
        <f t="shared" si="54"/>
        <v>0</v>
      </c>
      <c r="P185" s="207">
        <f t="shared" si="55"/>
        <v>0</v>
      </c>
      <c r="Q185" s="207">
        <v>0</v>
      </c>
      <c r="R185" s="208">
        <f t="shared" si="56"/>
        <v>68.559162022815983</v>
      </c>
    </row>
    <row r="186" spans="1:18" x14ac:dyDescent="0.2">
      <c r="A186" s="162">
        <v>11</v>
      </c>
      <c r="B186" s="199">
        <f t="shared" si="49"/>
        <v>44501</v>
      </c>
      <c r="C186" s="222">
        <f t="shared" si="61"/>
        <v>44533</v>
      </c>
      <c r="D186" s="222">
        <f t="shared" si="61"/>
        <v>44557</v>
      </c>
      <c r="E186" s="54" t="s">
        <v>57</v>
      </c>
      <c r="F186" s="162">
        <v>9</v>
      </c>
      <c r="G186" s="202">
        <v>16</v>
      </c>
      <c r="H186" s="203">
        <f t="shared" si="50"/>
        <v>3.7029508747261031</v>
      </c>
      <c r="I186" s="203">
        <f t="shared" si="63"/>
        <v>6.1637282811749872</v>
      </c>
      <c r="J186" s="204">
        <f t="shared" si="51"/>
        <v>98.619652498799795</v>
      </c>
      <c r="K186" s="211">
        <f t="shared" si="45"/>
        <v>59.247213995617649</v>
      </c>
      <c r="L186" s="210">
        <f t="shared" si="62"/>
        <v>39.372438503182146</v>
      </c>
      <c r="M186" s="207">
        <f t="shared" si="52"/>
        <v>1.2552130658939908</v>
      </c>
      <c r="N186" s="208">
        <f t="shared" si="53"/>
        <v>40.627651569076136</v>
      </c>
      <c r="O186" s="207">
        <f t="shared" si="54"/>
        <v>0</v>
      </c>
      <c r="P186" s="207">
        <f t="shared" si="55"/>
        <v>0</v>
      </c>
      <c r="Q186" s="207">
        <v>0</v>
      </c>
      <c r="R186" s="208">
        <f t="shared" si="56"/>
        <v>40.627651569076136</v>
      </c>
    </row>
    <row r="187" spans="1:18" s="226" customFormat="1" x14ac:dyDescent="0.2">
      <c r="A187" s="162">
        <v>12</v>
      </c>
      <c r="B187" s="224">
        <f t="shared" si="49"/>
        <v>44531</v>
      </c>
      <c r="C187" s="222">
        <f t="shared" si="61"/>
        <v>44566</v>
      </c>
      <c r="D187" s="222">
        <f t="shared" si="61"/>
        <v>44585</v>
      </c>
      <c r="E187" s="225" t="s">
        <v>57</v>
      </c>
      <c r="F187" s="173">
        <v>9</v>
      </c>
      <c r="G187" s="202">
        <v>19</v>
      </c>
      <c r="H187" s="214">
        <f t="shared" si="50"/>
        <v>3.7029508747261031</v>
      </c>
      <c r="I187" s="214">
        <f t="shared" si="63"/>
        <v>6.1637282811749872</v>
      </c>
      <c r="J187" s="215">
        <f t="shared" si="51"/>
        <v>117.11083734232476</v>
      </c>
      <c r="K187" s="216">
        <f t="shared" si="45"/>
        <v>70.356066619795953</v>
      </c>
      <c r="L187" s="217">
        <f t="shared" si="62"/>
        <v>46.754770722528804</v>
      </c>
      <c r="M187" s="207">
        <f t="shared" si="52"/>
        <v>1.4905655157491142</v>
      </c>
      <c r="N187" s="208">
        <f t="shared" si="53"/>
        <v>48.245336238277915</v>
      </c>
      <c r="O187" s="207">
        <f t="shared" si="54"/>
        <v>0</v>
      </c>
      <c r="P187" s="207">
        <f t="shared" si="55"/>
        <v>0</v>
      </c>
      <c r="Q187" s="207">
        <v>0</v>
      </c>
      <c r="R187" s="208">
        <f t="shared" si="56"/>
        <v>48.245336238277915</v>
      </c>
    </row>
    <row r="188" spans="1:18" x14ac:dyDescent="0.2">
      <c r="A188" s="125">
        <v>1</v>
      </c>
      <c r="B188" s="199">
        <f t="shared" si="49"/>
        <v>44197</v>
      </c>
      <c r="C188" s="219">
        <f t="shared" ref="C188:D211" si="64">+C176</f>
        <v>44230</v>
      </c>
      <c r="D188" s="219">
        <f t="shared" si="64"/>
        <v>44251</v>
      </c>
      <c r="E188" s="201" t="s">
        <v>58</v>
      </c>
      <c r="F188" s="125">
        <v>9</v>
      </c>
      <c r="G188" s="202">
        <v>35</v>
      </c>
      <c r="H188" s="203">
        <f t="shared" si="50"/>
        <v>3.7029508747261031</v>
      </c>
      <c r="I188" s="203">
        <f t="shared" si="63"/>
        <v>6.1637282811749872</v>
      </c>
      <c r="J188" s="204">
        <f t="shared" si="51"/>
        <v>215.73048984112455</v>
      </c>
      <c r="K188" s="205">
        <f t="shared" si="45"/>
        <v>129.60328061541361</v>
      </c>
      <c r="L188" s="206">
        <f t="shared" si="62"/>
        <v>86.127209225710942</v>
      </c>
      <c r="M188" s="207">
        <f t="shared" si="52"/>
        <v>2.7457785816431053</v>
      </c>
      <c r="N188" s="208">
        <f t="shared" si="53"/>
        <v>88.87298780735405</v>
      </c>
      <c r="O188" s="207">
        <f t="shared" si="54"/>
        <v>0</v>
      </c>
      <c r="P188" s="207">
        <f t="shared" si="55"/>
        <v>0</v>
      </c>
      <c r="Q188" s="207">
        <v>0</v>
      </c>
      <c r="R188" s="208">
        <f t="shared" si="56"/>
        <v>88.87298780735405</v>
      </c>
    </row>
    <row r="189" spans="1:18" x14ac:dyDescent="0.2">
      <c r="A189" s="162">
        <v>2</v>
      </c>
      <c r="B189" s="199">
        <f t="shared" si="49"/>
        <v>44228</v>
      </c>
      <c r="C189" s="222">
        <f t="shared" si="64"/>
        <v>44258</v>
      </c>
      <c r="D189" s="222">
        <f t="shared" si="64"/>
        <v>44279</v>
      </c>
      <c r="E189" s="209" t="s">
        <v>58</v>
      </c>
      <c r="F189" s="162">
        <v>9</v>
      </c>
      <c r="G189" s="202">
        <v>33</v>
      </c>
      <c r="H189" s="203">
        <f t="shared" si="50"/>
        <v>3.7029508747261031</v>
      </c>
      <c r="I189" s="203">
        <f t="shared" si="63"/>
        <v>6.1637282811749872</v>
      </c>
      <c r="J189" s="204">
        <f t="shared" si="51"/>
        <v>203.40303327877459</v>
      </c>
      <c r="K189" s="205">
        <f t="shared" si="45"/>
        <v>122.1973788659614</v>
      </c>
      <c r="L189" s="206">
        <f t="shared" si="62"/>
        <v>81.205654412813189</v>
      </c>
      <c r="M189" s="207">
        <f t="shared" si="52"/>
        <v>2.5888769484063561</v>
      </c>
      <c r="N189" s="208">
        <f t="shared" si="53"/>
        <v>83.794531361219541</v>
      </c>
      <c r="O189" s="207">
        <f t="shared" si="54"/>
        <v>0</v>
      </c>
      <c r="P189" s="207">
        <f t="shared" si="55"/>
        <v>0</v>
      </c>
      <c r="Q189" s="207">
        <v>0</v>
      </c>
      <c r="R189" s="208">
        <f t="shared" si="56"/>
        <v>83.794531361219541</v>
      </c>
    </row>
    <row r="190" spans="1:18" x14ac:dyDescent="0.2">
      <c r="A190" s="162">
        <v>3</v>
      </c>
      <c r="B190" s="199">
        <f t="shared" si="49"/>
        <v>44256</v>
      </c>
      <c r="C190" s="222">
        <f t="shared" si="64"/>
        <v>44291</v>
      </c>
      <c r="D190" s="222">
        <f t="shared" si="64"/>
        <v>44312</v>
      </c>
      <c r="E190" s="209" t="s">
        <v>58</v>
      </c>
      <c r="F190" s="162">
        <v>9</v>
      </c>
      <c r="G190" s="202">
        <v>30</v>
      </c>
      <c r="H190" s="203">
        <f t="shared" si="50"/>
        <v>3.7029508747261031</v>
      </c>
      <c r="I190" s="203">
        <f t="shared" si="63"/>
        <v>6.1637282811749872</v>
      </c>
      <c r="J190" s="204">
        <f t="shared" si="51"/>
        <v>184.91184843524962</v>
      </c>
      <c r="K190" s="205">
        <f t="shared" si="45"/>
        <v>111.08852624178309</v>
      </c>
      <c r="L190" s="206">
        <f>+J190-K190</f>
        <v>73.823322193466538</v>
      </c>
      <c r="M190" s="207">
        <f t="shared" si="52"/>
        <v>2.3535244985512329</v>
      </c>
      <c r="N190" s="208">
        <f t="shared" si="53"/>
        <v>76.176846692017776</v>
      </c>
      <c r="O190" s="207">
        <f t="shared" si="54"/>
        <v>0</v>
      </c>
      <c r="P190" s="207">
        <f t="shared" si="55"/>
        <v>0</v>
      </c>
      <c r="Q190" s="207">
        <v>0</v>
      </c>
      <c r="R190" s="208">
        <f t="shared" si="56"/>
        <v>76.176846692017776</v>
      </c>
    </row>
    <row r="191" spans="1:18" x14ac:dyDescent="0.2">
      <c r="A191" s="125">
        <v>4</v>
      </c>
      <c r="B191" s="199">
        <f t="shared" si="49"/>
        <v>44287</v>
      </c>
      <c r="C191" s="222">
        <f t="shared" si="64"/>
        <v>44321</v>
      </c>
      <c r="D191" s="222">
        <f t="shared" si="64"/>
        <v>44340</v>
      </c>
      <c r="E191" s="54" t="s">
        <v>58</v>
      </c>
      <c r="F191" s="162">
        <v>9</v>
      </c>
      <c r="G191" s="202">
        <v>32</v>
      </c>
      <c r="H191" s="203">
        <f t="shared" si="50"/>
        <v>3.7029508747261031</v>
      </c>
      <c r="I191" s="203">
        <f t="shared" si="63"/>
        <v>6.1637282811749872</v>
      </c>
      <c r="J191" s="204">
        <f t="shared" si="51"/>
        <v>197.23930499759959</v>
      </c>
      <c r="K191" s="205">
        <f t="shared" si="45"/>
        <v>118.4944279912353</v>
      </c>
      <c r="L191" s="206">
        <f t="shared" ref="L191:L201" si="65">+J191-K191</f>
        <v>78.744877006364291</v>
      </c>
      <c r="M191" s="207">
        <f t="shared" si="52"/>
        <v>2.5104261317879817</v>
      </c>
      <c r="N191" s="208">
        <f t="shared" si="53"/>
        <v>81.255303138152271</v>
      </c>
      <c r="O191" s="207">
        <f t="shared" si="54"/>
        <v>0</v>
      </c>
      <c r="P191" s="207">
        <f t="shared" si="55"/>
        <v>0</v>
      </c>
      <c r="Q191" s="207">
        <v>0</v>
      </c>
      <c r="R191" s="208">
        <f t="shared" si="56"/>
        <v>81.255303138152271</v>
      </c>
    </row>
    <row r="192" spans="1:18" x14ac:dyDescent="0.2">
      <c r="A192" s="162">
        <v>5</v>
      </c>
      <c r="B192" s="199">
        <f t="shared" si="49"/>
        <v>44317</v>
      </c>
      <c r="C192" s="222">
        <f t="shared" si="64"/>
        <v>44350</v>
      </c>
      <c r="D192" s="222">
        <f t="shared" si="64"/>
        <v>44371</v>
      </c>
      <c r="E192" s="54" t="s">
        <v>58</v>
      </c>
      <c r="F192" s="162">
        <v>9</v>
      </c>
      <c r="G192" s="202">
        <v>40</v>
      </c>
      <c r="H192" s="203">
        <f t="shared" si="50"/>
        <v>3.7029508747261031</v>
      </c>
      <c r="I192" s="203">
        <f t="shared" si="63"/>
        <v>6.1637282811749872</v>
      </c>
      <c r="J192" s="204">
        <f t="shared" si="51"/>
        <v>246.54913124699948</v>
      </c>
      <c r="K192" s="205">
        <f t="shared" si="45"/>
        <v>148.11803498904413</v>
      </c>
      <c r="L192" s="206">
        <f t="shared" si="65"/>
        <v>98.431096257955346</v>
      </c>
      <c r="M192" s="207">
        <f t="shared" si="52"/>
        <v>3.1380326647349772</v>
      </c>
      <c r="N192" s="208">
        <f t="shared" si="53"/>
        <v>101.56912892269033</v>
      </c>
      <c r="O192" s="207">
        <f t="shared" si="54"/>
        <v>0</v>
      </c>
      <c r="P192" s="207">
        <f t="shared" si="55"/>
        <v>0</v>
      </c>
      <c r="Q192" s="207">
        <v>0</v>
      </c>
      <c r="R192" s="208">
        <f t="shared" si="56"/>
        <v>101.56912892269033</v>
      </c>
    </row>
    <row r="193" spans="1:18" x14ac:dyDescent="0.2">
      <c r="A193" s="162">
        <v>6</v>
      </c>
      <c r="B193" s="199">
        <f t="shared" si="49"/>
        <v>44348</v>
      </c>
      <c r="C193" s="222">
        <f t="shared" si="64"/>
        <v>44383</v>
      </c>
      <c r="D193" s="222">
        <f t="shared" si="64"/>
        <v>44401</v>
      </c>
      <c r="E193" s="54" t="s">
        <v>58</v>
      </c>
      <c r="F193" s="162">
        <v>9</v>
      </c>
      <c r="G193" s="202">
        <v>46</v>
      </c>
      <c r="H193" s="203">
        <f t="shared" si="50"/>
        <v>3.7029508747261031</v>
      </c>
      <c r="I193" s="203">
        <f t="shared" si="63"/>
        <v>6.1637282811749872</v>
      </c>
      <c r="J193" s="204">
        <f t="shared" si="51"/>
        <v>283.5315009340494</v>
      </c>
      <c r="K193" s="205">
        <f t="shared" si="45"/>
        <v>170.33574023740073</v>
      </c>
      <c r="L193" s="210">
        <f t="shared" si="65"/>
        <v>113.19576069664868</v>
      </c>
      <c r="M193" s="207">
        <f t="shared" si="52"/>
        <v>3.608737564445224</v>
      </c>
      <c r="N193" s="208">
        <f t="shared" si="53"/>
        <v>116.8044982610939</v>
      </c>
      <c r="O193" s="207">
        <f t="shared" si="54"/>
        <v>0</v>
      </c>
      <c r="P193" s="207">
        <f t="shared" si="55"/>
        <v>0</v>
      </c>
      <c r="Q193" s="207">
        <v>0</v>
      </c>
      <c r="R193" s="208">
        <f t="shared" si="56"/>
        <v>116.8044982610939</v>
      </c>
    </row>
    <row r="194" spans="1:18" x14ac:dyDescent="0.2">
      <c r="A194" s="125">
        <v>7</v>
      </c>
      <c r="B194" s="199">
        <f t="shared" si="49"/>
        <v>44378</v>
      </c>
      <c r="C194" s="222">
        <f t="shared" si="64"/>
        <v>44412</v>
      </c>
      <c r="D194" s="222">
        <f t="shared" si="64"/>
        <v>44432</v>
      </c>
      <c r="E194" s="54" t="s">
        <v>58</v>
      </c>
      <c r="F194" s="162">
        <v>9</v>
      </c>
      <c r="G194" s="202">
        <v>48</v>
      </c>
      <c r="H194" s="203">
        <f t="shared" si="50"/>
        <v>3.7029508747261031</v>
      </c>
      <c r="I194" s="203">
        <f t="shared" si="63"/>
        <v>6.1637282811749872</v>
      </c>
      <c r="J194" s="204">
        <f t="shared" si="51"/>
        <v>295.8589574963994</v>
      </c>
      <c r="K194" s="211">
        <f t="shared" si="45"/>
        <v>177.74164198685295</v>
      </c>
      <c r="L194" s="210">
        <f t="shared" si="65"/>
        <v>118.11731550954644</v>
      </c>
      <c r="M194" s="207">
        <f t="shared" si="52"/>
        <v>3.7656391976819727</v>
      </c>
      <c r="N194" s="208">
        <f t="shared" si="53"/>
        <v>121.88295470722842</v>
      </c>
      <c r="O194" s="207">
        <f t="shared" si="54"/>
        <v>0</v>
      </c>
      <c r="P194" s="207">
        <f t="shared" si="55"/>
        <v>0</v>
      </c>
      <c r="Q194" s="207">
        <v>0</v>
      </c>
      <c r="R194" s="208">
        <f t="shared" si="56"/>
        <v>121.88295470722842</v>
      </c>
    </row>
    <row r="195" spans="1:18" x14ac:dyDescent="0.2">
      <c r="A195" s="162">
        <v>8</v>
      </c>
      <c r="B195" s="199">
        <f t="shared" si="49"/>
        <v>44409</v>
      </c>
      <c r="C195" s="222">
        <f t="shared" si="64"/>
        <v>44442</v>
      </c>
      <c r="D195" s="222">
        <f t="shared" si="64"/>
        <v>44463</v>
      </c>
      <c r="E195" s="54" t="s">
        <v>58</v>
      </c>
      <c r="F195" s="162">
        <v>9</v>
      </c>
      <c r="G195" s="202">
        <v>50</v>
      </c>
      <c r="H195" s="203">
        <f t="shared" si="50"/>
        <v>3.7029508747261031</v>
      </c>
      <c r="I195" s="203">
        <f t="shared" si="63"/>
        <v>6.1637282811749872</v>
      </c>
      <c r="J195" s="204">
        <f t="shared" si="51"/>
        <v>308.18641405874934</v>
      </c>
      <c r="K195" s="211">
        <f t="shared" si="45"/>
        <v>185.14754373630515</v>
      </c>
      <c r="L195" s="210">
        <f t="shared" si="65"/>
        <v>123.03887032244418</v>
      </c>
      <c r="M195" s="207">
        <f t="shared" si="52"/>
        <v>3.922540830918722</v>
      </c>
      <c r="N195" s="208">
        <f t="shared" si="53"/>
        <v>126.9614111533629</v>
      </c>
      <c r="O195" s="207">
        <f t="shared" si="54"/>
        <v>0</v>
      </c>
      <c r="P195" s="207">
        <f t="shared" si="55"/>
        <v>0</v>
      </c>
      <c r="Q195" s="207">
        <v>0</v>
      </c>
      <c r="R195" s="208">
        <f t="shared" si="56"/>
        <v>126.9614111533629</v>
      </c>
    </row>
    <row r="196" spans="1:18" x14ac:dyDescent="0.2">
      <c r="A196" s="162">
        <v>9</v>
      </c>
      <c r="B196" s="199">
        <f t="shared" si="49"/>
        <v>44440</v>
      </c>
      <c r="C196" s="222">
        <f t="shared" si="64"/>
        <v>44474</v>
      </c>
      <c r="D196" s="222">
        <f t="shared" si="64"/>
        <v>44494</v>
      </c>
      <c r="E196" s="54" t="s">
        <v>58</v>
      </c>
      <c r="F196" s="162">
        <v>9</v>
      </c>
      <c r="G196" s="202">
        <v>52</v>
      </c>
      <c r="H196" s="203">
        <f t="shared" si="50"/>
        <v>3.7029508747261031</v>
      </c>
      <c r="I196" s="203">
        <f t="shared" si="63"/>
        <v>6.1637282811749872</v>
      </c>
      <c r="J196" s="204">
        <f t="shared" si="51"/>
        <v>320.51387062109933</v>
      </c>
      <c r="K196" s="211">
        <f t="shared" si="45"/>
        <v>192.55344548575735</v>
      </c>
      <c r="L196" s="210">
        <f t="shared" si="65"/>
        <v>127.96042513534198</v>
      </c>
      <c r="M196" s="207">
        <f t="shared" si="52"/>
        <v>4.0794424641554707</v>
      </c>
      <c r="N196" s="208">
        <f t="shared" si="53"/>
        <v>132.03986759949746</v>
      </c>
      <c r="O196" s="207">
        <f t="shared" si="54"/>
        <v>0</v>
      </c>
      <c r="P196" s="207">
        <f t="shared" si="55"/>
        <v>0</v>
      </c>
      <c r="Q196" s="207">
        <v>0</v>
      </c>
      <c r="R196" s="208">
        <f t="shared" si="56"/>
        <v>132.03986759949746</v>
      </c>
    </row>
    <row r="197" spans="1:18" x14ac:dyDescent="0.2">
      <c r="A197" s="125">
        <v>10</v>
      </c>
      <c r="B197" s="199">
        <f t="shared" si="49"/>
        <v>44470</v>
      </c>
      <c r="C197" s="222">
        <f t="shared" si="64"/>
        <v>44503</v>
      </c>
      <c r="D197" s="222">
        <f t="shared" si="64"/>
        <v>44524</v>
      </c>
      <c r="E197" s="54" t="s">
        <v>58</v>
      </c>
      <c r="F197" s="162">
        <v>9</v>
      </c>
      <c r="G197" s="202">
        <v>40</v>
      </c>
      <c r="H197" s="203">
        <f t="shared" si="50"/>
        <v>3.7029508747261031</v>
      </c>
      <c r="I197" s="203">
        <f t="shared" si="63"/>
        <v>6.1637282811749872</v>
      </c>
      <c r="J197" s="204">
        <f t="shared" si="51"/>
        <v>246.54913124699948</v>
      </c>
      <c r="K197" s="211">
        <f t="shared" si="45"/>
        <v>148.11803498904413</v>
      </c>
      <c r="L197" s="210">
        <f t="shared" si="65"/>
        <v>98.431096257955346</v>
      </c>
      <c r="M197" s="207">
        <f t="shared" si="52"/>
        <v>3.1380326647349772</v>
      </c>
      <c r="N197" s="208">
        <f t="shared" si="53"/>
        <v>101.56912892269033</v>
      </c>
      <c r="O197" s="207">
        <f t="shared" si="54"/>
        <v>0</v>
      </c>
      <c r="P197" s="207">
        <f t="shared" si="55"/>
        <v>0</v>
      </c>
      <c r="Q197" s="207">
        <v>0</v>
      </c>
      <c r="R197" s="208">
        <f t="shared" si="56"/>
        <v>101.56912892269033</v>
      </c>
    </row>
    <row r="198" spans="1:18" x14ac:dyDescent="0.2">
      <c r="A198" s="162">
        <v>11</v>
      </c>
      <c r="B198" s="199">
        <f t="shared" si="49"/>
        <v>44501</v>
      </c>
      <c r="C198" s="222">
        <f t="shared" si="64"/>
        <v>44533</v>
      </c>
      <c r="D198" s="222">
        <f t="shared" si="64"/>
        <v>44557</v>
      </c>
      <c r="E198" s="54" t="s">
        <v>58</v>
      </c>
      <c r="F198" s="162">
        <v>9</v>
      </c>
      <c r="G198" s="202">
        <v>32</v>
      </c>
      <c r="H198" s="203">
        <f t="shared" si="50"/>
        <v>3.7029508747261031</v>
      </c>
      <c r="I198" s="203">
        <f t="shared" si="63"/>
        <v>6.1637282811749872</v>
      </c>
      <c r="J198" s="204">
        <f t="shared" si="51"/>
        <v>197.23930499759959</v>
      </c>
      <c r="K198" s="211">
        <f t="shared" ref="K198:K209" si="66">+$G198*H198</f>
        <v>118.4944279912353</v>
      </c>
      <c r="L198" s="210">
        <f t="shared" si="65"/>
        <v>78.744877006364291</v>
      </c>
      <c r="M198" s="207">
        <f t="shared" si="52"/>
        <v>2.5104261317879817</v>
      </c>
      <c r="N198" s="208">
        <f t="shared" si="53"/>
        <v>81.255303138152271</v>
      </c>
      <c r="O198" s="207">
        <f t="shared" si="54"/>
        <v>0</v>
      </c>
      <c r="P198" s="207">
        <f t="shared" si="55"/>
        <v>0</v>
      </c>
      <c r="Q198" s="207">
        <v>0</v>
      </c>
      <c r="R198" s="208">
        <f t="shared" si="56"/>
        <v>81.255303138152271</v>
      </c>
    </row>
    <row r="199" spans="1:18" s="226" customFormat="1" x14ac:dyDescent="0.2">
      <c r="A199" s="162">
        <v>12</v>
      </c>
      <c r="B199" s="224">
        <f t="shared" si="49"/>
        <v>44531</v>
      </c>
      <c r="C199" s="222">
        <f t="shared" si="64"/>
        <v>44566</v>
      </c>
      <c r="D199" s="222">
        <f t="shared" si="64"/>
        <v>44585</v>
      </c>
      <c r="E199" s="225" t="s">
        <v>58</v>
      </c>
      <c r="F199" s="173">
        <v>9</v>
      </c>
      <c r="G199" s="202">
        <v>35</v>
      </c>
      <c r="H199" s="214">
        <f t="shared" si="50"/>
        <v>3.7029508747261031</v>
      </c>
      <c r="I199" s="214">
        <f t="shared" si="63"/>
        <v>6.1637282811749872</v>
      </c>
      <c r="J199" s="215">
        <f t="shared" si="51"/>
        <v>215.73048984112455</v>
      </c>
      <c r="K199" s="216">
        <f t="shared" si="66"/>
        <v>129.60328061541361</v>
      </c>
      <c r="L199" s="217">
        <f t="shared" si="65"/>
        <v>86.127209225710942</v>
      </c>
      <c r="M199" s="207">
        <f t="shared" si="52"/>
        <v>2.7457785816431053</v>
      </c>
      <c r="N199" s="208">
        <f t="shared" si="53"/>
        <v>88.87298780735405</v>
      </c>
      <c r="O199" s="207">
        <f t="shared" si="54"/>
        <v>0</v>
      </c>
      <c r="P199" s="207">
        <f t="shared" si="55"/>
        <v>0</v>
      </c>
      <c r="Q199" s="207">
        <v>0</v>
      </c>
      <c r="R199" s="208">
        <f t="shared" si="56"/>
        <v>88.87298780735405</v>
      </c>
    </row>
    <row r="200" spans="1:18" x14ac:dyDescent="0.2">
      <c r="A200" s="125">
        <v>1</v>
      </c>
      <c r="B200" s="199">
        <f t="shared" si="49"/>
        <v>44197</v>
      </c>
      <c r="C200" s="219">
        <f t="shared" si="64"/>
        <v>44230</v>
      </c>
      <c r="D200" s="219">
        <f t="shared" si="64"/>
        <v>44251</v>
      </c>
      <c r="E200" s="201" t="s">
        <v>17</v>
      </c>
      <c r="F200" s="125">
        <v>9</v>
      </c>
      <c r="G200" s="202">
        <v>94</v>
      </c>
      <c r="H200" s="203">
        <f t="shared" si="50"/>
        <v>3.7029508747261031</v>
      </c>
      <c r="I200" s="203">
        <f t="shared" si="63"/>
        <v>6.1637282811749872</v>
      </c>
      <c r="J200" s="204">
        <f t="shared" si="51"/>
        <v>579.3904584304488</v>
      </c>
      <c r="K200" s="205">
        <f t="shared" si="66"/>
        <v>348.07738222425371</v>
      </c>
      <c r="L200" s="206">
        <f t="shared" si="65"/>
        <v>231.31307620619509</v>
      </c>
      <c r="M200" s="207">
        <f t="shared" si="52"/>
        <v>7.3743767621271967</v>
      </c>
      <c r="N200" s="208">
        <f t="shared" si="53"/>
        <v>238.68745296832228</v>
      </c>
      <c r="O200" s="207">
        <f t="shared" si="54"/>
        <v>0</v>
      </c>
      <c r="P200" s="207">
        <f t="shared" si="55"/>
        <v>0</v>
      </c>
      <c r="Q200" s="207">
        <v>0</v>
      </c>
      <c r="R200" s="208">
        <f t="shared" si="56"/>
        <v>238.68745296832228</v>
      </c>
    </row>
    <row r="201" spans="1:18" x14ac:dyDescent="0.2">
      <c r="A201" s="162">
        <v>2</v>
      </c>
      <c r="B201" s="199">
        <f t="shared" si="49"/>
        <v>44228</v>
      </c>
      <c r="C201" s="222">
        <f t="shared" si="64"/>
        <v>44258</v>
      </c>
      <c r="D201" s="222">
        <f t="shared" si="64"/>
        <v>44279</v>
      </c>
      <c r="E201" s="209" t="s">
        <v>17</v>
      </c>
      <c r="F201" s="162">
        <v>9</v>
      </c>
      <c r="G201" s="202">
        <v>100</v>
      </c>
      <c r="H201" s="203">
        <f t="shared" si="50"/>
        <v>3.7029508747261031</v>
      </c>
      <c r="I201" s="203">
        <f t="shared" si="63"/>
        <v>6.1637282811749872</v>
      </c>
      <c r="J201" s="204">
        <f t="shared" si="51"/>
        <v>616.37282811749867</v>
      </c>
      <c r="K201" s="205">
        <f t="shared" si="66"/>
        <v>370.29508747261031</v>
      </c>
      <c r="L201" s="206">
        <f t="shared" si="65"/>
        <v>246.07774064488837</v>
      </c>
      <c r="M201" s="207">
        <f t="shared" si="52"/>
        <v>7.8450816618374439</v>
      </c>
      <c r="N201" s="208">
        <f t="shared" si="53"/>
        <v>253.92282230672581</v>
      </c>
      <c r="O201" s="207">
        <f t="shared" si="54"/>
        <v>0</v>
      </c>
      <c r="P201" s="207">
        <f t="shared" si="55"/>
        <v>0</v>
      </c>
      <c r="Q201" s="207">
        <v>0</v>
      </c>
      <c r="R201" s="208">
        <f t="shared" si="56"/>
        <v>253.92282230672581</v>
      </c>
    </row>
    <row r="202" spans="1:18" x14ac:dyDescent="0.2">
      <c r="A202" s="162">
        <v>3</v>
      </c>
      <c r="B202" s="199">
        <f t="shared" si="49"/>
        <v>44256</v>
      </c>
      <c r="C202" s="222">
        <f t="shared" si="64"/>
        <v>44291</v>
      </c>
      <c r="D202" s="222">
        <f t="shared" si="64"/>
        <v>44312</v>
      </c>
      <c r="E202" s="209" t="s">
        <v>17</v>
      </c>
      <c r="F202" s="162">
        <v>9</v>
      </c>
      <c r="G202" s="202">
        <v>101</v>
      </c>
      <c r="H202" s="203">
        <f t="shared" si="50"/>
        <v>3.7029508747261031</v>
      </c>
      <c r="I202" s="203">
        <f t="shared" si="63"/>
        <v>6.1637282811749872</v>
      </c>
      <c r="J202" s="204">
        <f t="shared" si="51"/>
        <v>622.53655639867372</v>
      </c>
      <c r="K202" s="205">
        <f t="shared" si="66"/>
        <v>373.99803834733643</v>
      </c>
      <c r="L202" s="206">
        <f>+J202-K202</f>
        <v>248.53851805133729</v>
      </c>
      <c r="M202" s="207">
        <f t="shared" si="52"/>
        <v>7.9235324784558188</v>
      </c>
      <c r="N202" s="208">
        <f t="shared" si="53"/>
        <v>256.46205052979309</v>
      </c>
      <c r="O202" s="207">
        <f t="shared" si="54"/>
        <v>0</v>
      </c>
      <c r="P202" s="207">
        <f t="shared" si="55"/>
        <v>0</v>
      </c>
      <c r="Q202" s="207">
        <v>0</v>
      </c>
      <c r="R202" s="208">
        <f t="shared" si="56"/>
        <v>256.46205052979309</v>
      </c>
    </row>
    <row r="203" spans="1:18" x14ac:dyDescent="0.2">
      <c r="A203" s="125">
        <v>4</v>
      </c>
      <c r="B203" s="199">
        <f t="shared" si="49"/>
        <v>44287</v>
      </c>
      <c r="C203" s="222">
        <f t="shared" si="64"/>
        <v>44321</v>
      </c>
      <c r="D203" s="222">
        <f t="shared" si="64"/>
        <v>44340</v>
      </c>
      <c r="E203" s="209" t="s">
        <v>17</v>
      </c>
      <c r="F203" s="162">
        <v>9</v>
      </c>
      <c r="G203" s="202">
        <v>98</v>
      </c>
      <c r="H203" s="203">
        <f t="shared" si="50"/>
        <v>3.7029508747261031</v>
      </c>
      <c r="I203" s="203">
        <f t="shared" si="63"/>
        <v>6.1637282811749872</v>
      </c>
      <c r="J203" s="204">
        <f t="shared" si="51"/>
        <v>604.04537155514879</v>
      </c>
      <c r="K203" s="205">
        <f t="shared" si="66"/>
        <v>362.88918572315811</v>
      </c>
      <c r="L203" s="206">
        <f t="shared" ref="L203:L211" si="67">+J203-K203</f>
        <v>241.15618583199068</v>
      </c>
      <c r="M203" s="207">
        <f t="shared" si="52"/>
        <v>7.6881800286006952</v>
      </c>
      <c r="N203" s="208">
        <f t="shared" si="53"/>
        <v>248.84436586059138</v>
      </c>
      <c r="O203" s="207">
        <f t="shared" si="54"/>
        <v>0</v>
      </c>
      <c r="P203" s="207">
        <f t="shared" si="55"/>
        <v>0</v>
      </c>
      <c r="Q203" s="207">
        <v>0</v>
      </c>
      <c r="R203" s="208">
        <f t="shared" si="56"/>
        <v>248.84436586059138</v>
      </c>
    </row>
    <row r="204" spans="1:18" x14ac:dyDescent="0.2">
      <c r="A204" s="162">
        <v>5</v>
      </c>
      <c r="B204" s="199">
        <f t="shared" si="49"/>
        <v>44317</v>
      </c>
      <c r="C204" s="222">
        <f t="shared" si="64"/>
        <v>44350</v>
      </c>
      <c r="D204" s="222">
        <f t="shared" si="64"/>
        <v>44371</v>
      </c>
      <c r="E204" s="54" t="s">
        <v>17</v>
      </c>
      <c r="F204" s="162">
        <v>9</v>
      </c>
      <c r="G204" s="202">
        <v>99</v>
      </c>
      <c r="H204" s="203">
        <f t="shared" si="50"/>
        <v>3.7029508747261031</v>
      </c>
      <c r="I204" s="203">
        <f t="shared" si="63"/>
        <v>6.1637282811749872</v>
      </c>
      <c r="J204" s="204">
        <f t="shared" si="51"/>
        <v>610.20909983632373</v>
      </c>
      <c r="K204" s="205">
        <f t="shared" si="66"/>
        <v>366.59213659788418</v>
      </c>
      <c r="L204" s="206">
        <f t="shared" si="67"/>
        <v>243.61696323843955</v>
      </c>
      <c r="M204" s="207">
        <f t="shared" si="52"/>
        <v>7.76663084521907</v>
      </c>
      <c r="N204" s="208">
        <f t="shared" si="53"/>
        <v>251.38359408365864</v>
      </c>
      <c r="O204" s="207">
        <f t="shared" si="54"/>
        <v>0</v>
      </c>
      <c r="P204" s="207">
        <f t="shared" si="55"/>
        <v>0</v>
      </c>
      <c r="Q204" s="207">
        <v>0</v>
      </c>
      <c r="R204" s="208">
        <f t="shared" si="56"/>
        <v>251.38359408365864</v>
      </c>
    </row>
    <row r="205" spans="1:18" x14ac:dyDescent="0.2">
      <c r="A205" s="162">
        <v>6</v>
      </c>
      <c r="B205" s="199">
        <f t="shared" si="49"/>
        <v>44348</v>
      </c>
      <c r="C205" s="222">
        <f t="shared" si="64"/>
        <v>44383</v>
      </c>
      <c r="D205" s="222">
        <f t="shared" si="64"/>
        <v>44401</v>
      </c>
      <c r="E205" s="54" t="s">
        <v>17</v>
      </c>
      <c r="F205" s="162">
        <v>9</v>
      </c>
      <c r="G205" s="202">
        <v>113</v>
      </c>
      <c r="H205" s="203">
        <f t="shared" si="50"/>
        <v>3.7029508747261031</v>
      </c>
      <c r="I205" s="203">
        <f t="shared" si="63"/>
        <v>6.1637282811749872</v>
      </c>
      <c r="J205" s="204">
        <f t="shared" si="51"/>
        <v>696.50129577277357</v>
      </c>
      <c r="K205" s="205">
        <f t="shared" si="66"/>
        <v>418.43344884404962</v>
      </c>
      <c r="L205" s="210">
        <f t="shared" si="67"/>
        <v>278.06784692872395</v>
      </c>
      <c r="M205" s="207">
        <f t="shared" si="52"/>
        <v>8.8649422778763114</v>
      </c>
      <c r="N205" s="208">
        <f t="shared" si="53"/>
        <v>286.93278920660026</v>
      </c>
      <c r="O205" s="207">
        <f t="shared" si="54"/>
        <v>0</v>
      </c>
      <c r="P205" s="207">
        <f t="shared" si="55"/>
        <v>0</v>
      </c>
      <c r="Q205" s="207">
        <v>0</v>
      </c>
      <c r="R205" s="208">
        <f t="shared" si="56"/>
        <v>286.93278920660026</v>
      </c>
    </row>
    <row r="206" spans="1:18" x14ac:dyDescent="0.2">
      <c r="A206" s="125">
        <v>7</v>
      </c>
      <c r="B206" s="199">
        <f t="shared" si="49"/>
        <v>44378</v>
      </c>
      <c r="C206" s="222">
        <f t="shared" si="64"/>
        <v>44412</v>
      </c>
      <c r="D206" s="222">
        <f t="shared" si="64"/>
        <v>44432</v>
      </c>
      <c r="E206" s="54" t="s">
        <v>17</v>
      </c>
      <c r="F206" s="162">
        <v>9</v>
      </c>
      <c r="G206" s="202">
        <v>116</v>
      </c>
      <c r="H206" s="203">
        <f t="shared" si="50"/>
        <v>3.7029508747261031</v>
      </c>
      <c r="I206" s="203">
        <f t="shared" si="63"/>
        <v>6.1637282811749872</v>
      </c>
      <c r="J206" s="204">
        <f t="shared" si="51"/>
        <v>714.99248061629851</v>
      </c>
      <c r="K206" s="211">
        <f t="shared" si="66"/>
        <v>429.54230146822795</v>
      </c>
      <c r="L206" s="210">
        <f t="shared" si="67"/>
        <v>285.45017914807056</v>
      </c>
      <c r="M206" s="207">
        <f t="shared" si="52"/>
        <v>9.1002947277314341</v>
      </c>
      <c r="N206" s="208">
        <f t="shared" si="53"/>
        <v>294.55047387580197</v>
      </c>
      <c r="O206" s="207">
        <f t="shared" si="54"/>
        <v>0</v>
      </c>
      <c r="P206" s="207">
        <f t="shared" si="55"/>
        <v>0</v>
      </c>
      <c r="Q206" s="207">
        <v>0</v>
      </c>
      <c r="R206" s="208">
        <f t="shared" si="56"/>
        <v>294.55047387580197</v>
      </c>
    </row>
    <row r="207" spans="1:18" x14ac:dyDescent="0.2">
      <c r="A207" s="162">
        <v>8</v>
      </c>
      <c r="B207" s="199">
        <f t="shared" si="49"/>
        <v>44409</v>
      </c>
      <c r="C207" s="222">
        <f t="shared" si="64"/>
        <v>44442</v>
      </c>
      <c r="D207" s="222">
        <f t="shared" si="64"/>
        <v>44463</v>
      </c>
      <c r="E207" s="54" t="s">
        <v>17</v>
      </c>
      <c r="F207" s="162">
        <v>9</v>
      </c>
      <c r="G207" s="202">
        <v>116</v>
      </c>
      <c r="H207" s="203">
        <f t="shared" si="50"/>
        <v>3.7029508747261031</v>
      </c>
      <c r="I207" s="203">
        <f t="shared" si="63"/>
        <v>6.1637282811749872</v>
      </c>
      <c r="J207" s="204">
        <f t="shared" si="51"/>
        <v>714.99248061629851</v>
      </c>
      <c r="K207" s="211">
        <f t="shared" si="66"/>
        <v>429.54230146822795</v>
      </c>
      <c r="L207" s="210">
        <f t="shared" si="67"/>
        <v>285.45017914807056</v>
      </c>
      <c r="M207" s="207">
        <f t="shared" si="52"/>
        <v>9.1002947277314341</v>
      </c>
      <c r="N207" s="208">
        <f t="shared" si="53"/>
        <v>294.55047387580197</v>
      </c>
      <c r="O207" s="207">
        <f t="shared" si="54"/>
        <v>0</v>
      </c>
      <c r="P207" s="207">
        <f t="shared" si="55"/>
        <v>0</v>
      </c>
      <c r="Q207" s="207">
        <v>0</v>
      </c>
      <c r="R207" s="208">
        <f t="shared" si="56"/>
        <v>294.55047387580197</v>
      </c>
    </row>
    <row r="208" spans="1:18" x14ac:dyDescent="0.2">
      <c r="A208" s="162">
        <v>9</v>
      </c>
      <c r="B208" s="199">
        <f t="shared" si="49"/>
        <v>44440</v>
      </c>
      <c r="C208" s="222">
        <f t="shared" si="64"/>
        <v>44474</v>
      </c>
      <c r="D208" s="222">
        <f t="shared" si="64"/>
        <v>44494</v>
      </c>
      <c r="E208" s="54" t="s">
        <v>17</v>
      </c>
      <c r="F208" s="162">
        <v>9</v>
      </c>
      <c r="G208" s="202">
        <v>116</v>
      </c>
      <c r="H208" s="203">
        <f t="shared" si="50"/>
        <v>3.7029508747261031</v>
      </c>
      <c r="I208" s="203">
        <f t="shared" si="63"/>
        <v>6.1637282811749872</v>
      </c>
      <c r="J208" s="204">
        <f t="shared" si="51"/>
        <v>714.99248061629851</v>
      </c>
      <c r="K208" s="211">
        <f t="shared" si="66"/>
        <v>429.54230146822795</v>
      </c>
      <c r="L208" s="210">
        <f t="shared" si="67"/>
        <v>285.45017914807056</v>
      </c>
      <c r="M208" s="207">
        <f t="shared" si="52"/>
        <v>9.1002947277314341</v>
      </c>
      <c r="N208" s="208">
        <f t="shared" si="53"/>
        <v>294.55047387580197</v>
      </c>
      <c r="O208" s="207">
        <f t="shared" si="54"/>
        <v>0</v>
      </c>
      <c r="P208" s="207">
        <f t="shared" si="55"/>
        <v>0</v>
      </c>
      <c r="Q208" s="207">
        <v>0</v>
      </c>
      <c r="R208" s="208">
        <f t="shared" si="56"/>
        <v>294.55047387580197</v>
      </c>
    </row>
    <row r="209" spans="1:18" x14ac:dyDescent="0.2">
      <c r="A209" s="125">
        <v>10</v>
      </c>
      <c r="B209" s="199">
        <f t="shared" si="49"/>
        <v>44470</v>
      </c>
      <c r="C209" s="222">
        <f t="shared" si="64"/>
        <v>44503</v>
      </c>
      <c r="D209" s="222">
        <f t="shared" si="64"/>
        <v>44524</v>
      </c>
      <c r="E209" s="54" t="s">
        <v>17</v>
      </c>
      <c r="F209" s="162">
        <v>9</v>
      </c>
      <c r="G209" s="202">
        <v>105</v>
      </c>
      <c r="H209" s="203">
        <f t="shared" si="50"/>
        <v>3.7029508747261031</v>
      </c>
      <c r="I209" s="203">
        <f t="shared" si="63"/>
        <v>6.1637282811749872</v>
      </c>
      <c r="J209" s="204">
        <f t="shared" si="51"/>
        <v>647.1914695233736</v>
      </c>
      <c r="K209" s="211">
        <f t="shared" si="66"/>
        <v>388.80984184624083</v>
      </c>
      <c r="L209" s="210">
        <f t="shared" si="67"/>
        <v>258.38162767713277</v>
      </c>
      <c r="M209" s="207">
        <f t="shared" si="52"/>
        <v>8.2373357449293163</v>
      </c>
      <c r="N209" s="208">
        <f t="shared" si="53"/>
        <v>266.61896342206211</v>
      </c>
      <c r="O209" s="207">
        <f t="shared" si="54"/>
        <v>0</v>
      </c>
      <c r="P209" s="207">
        <f t="shared" si="55"/>
        <v>0</v>
      </c>
      <c r="Q209" s="207">
        <v>0</v>
      </c>
      <c r="R209" s="208">
        <f t="shared" si="56"/>
        <v>266.61896342206211</v>
      </c>
    </row>
    <row r="210" spans="1:18" x14ac:dyDescent="0.2">
      <c r="A210" s="162">
        <v>11</v>
      </c>
      <c r="B210" s="199">
        <f t="shared" si="49"/>
        <v>44501</v>
      </c>
      <c r="C210" s="222">
        <f t="shared" si="64"/>
        <v>44533</v>
      </c>
      <c r="D210" s="222">
        <f t="shared" si="64"/>
        <v>44557</v>
      </c>
      <c r="E210" s="54" t="s">
        <v>17</v>
      </c>
      <c r="F210" s="162">
        <v>9</v>
      </c>
      <c r="G210" s="202">
        <v>100</v>
      </c>
      <c r="H210" s="203">
        <f t="shared" si="50"/>
        <v>3.7029508747261031</v>
      </c>
      <c r="I210" s="203">
        <f t="shared" si="63"/>
        <v>6.1637282811749872</v>
      </c>
      <c r="J210" s="204">
        <f t="shared" si="51"/>
        <v>616.37282811749867</v>
      </c>
      <c r="K210" s="211">
        <f>+$G210*H210</f>
        <v>370.29508747261031</v>
      </c>
      <c r="L210" s="210">
        <f t="shared" si="67"/>
        <v>246.07774064488837</v>
      </c>
      <c r="M210" s="207">
        <f t="shared" si="52"/>
        <v>7.8450816618374439</v>
      </c>
      <c r="N210" s="208">
        <f t="shared" si="53"/>
        <v>253.92282230672581</v>
      </c>
      <c r="O210" s="207">
        <f t="shared" si="54"/>
        <v>0</v>
      </c>
      <c r="P210" s="207">
        <f t="shared" si="55"/>
        <v>0</v>
      </c>
      <c r="Q210" s="207">
        <v>0</v>
      </c>
      <c r="R210" s="208">
        <f t="shared" si="56"/>
        <v>253.92282230672581</v>
      </c>
    </row>
    <row r="211" spans="1:18" s="226" customFormat="1" x14ac:dyDescent="0.2">
      <c r="A211" s="162">
        <v>12</v>
      </c>
      <c r="B211" s="224">
        <f t="shared" si="49"/>
        <v>44531</v>
      </c>
      <c r="C211" s="227">
        <f t="shared" si="64"/>
        <v>44566</v>
      </c>
      <c r="D211" s="227">
        <f t="shared" si="64"/>
        <v>44585</v>
      </c>
      <c r="E211" s="225" t="s">
        <v>17</v>
      </c>
      <c r="F211" s="173">
        <v>9</v>
      </c>
      <c r="G211" s="202">
        <v>103</v>
      </c>
      <c r="H211" s="214">
        <f t="shared" si="50"/>
        <v>3.7029508747261031</v>
      </c>
      <c r="I211" s="214">
        <f t="shared" si="63"/>
        <v>6.1637282811749872</v>
      </c>
      <c r="J211" s="215">
        <f t="shared" si="51"/>
        <v>634.86401296102372</v>
      </c>
      <c r="K211" s="216">
        <f>+$G211*H211</f>
        <v>381.40394009678863</v>
      </c>
      <c r="L211" s="217">
        <f t="shared" si="67"/>
        <v>253.46007286423509</v>
      </c>
      <c r="M211" s="215">
        <f t="shared" si="52"/>
        <v>8.0804341116925666</v>
      </c>
      <c r="N211" s="208">
        <f t="shared" si="53"/>
        <v>261.54050697592766</v>
      </c>
      <c r="O211" s="215">
        <f t="shared" si="54"/>
        <v>0</v>
      </c>
      <c r="P211" s="232">
        <f t="shared" si="55"/>
        <v>0</v>
      </c>
      <c r="Q211" s="207">
        <v>0</v>
      </c>
      <c r="R211" s="208">
        <f t="shared" si="56"/>
        <v>261.54050697592766</v>
      </c>
    </row>
    <row r="212" spans="1:18" x14ac:dyDescent="0.2">
      <c r="G212" s="233">
        <f>SUM(G20:G211)</f>
        <v>98311</v>
      </c>
      <c r="H212" s="51"/>
      <c r="I212" s="51"/>
      <c r="J212" s="51">
        <f>SUM(J20:J211)</f>
        <v>605962.29105059407</v>
      </c>
      <c r="K212" s="51">
        <f>SUM(K20:K211)</f>
        <v>364040.80344519718</v>
      </c>
      <c r="L212" s="51">
        <f>SUM(L20:L211)</f>
        <v>241921.48760539619</v>
      </c>
      <c r="M212" s="51">
        <f>SUM(M20:M211)</f>
        <v>7712.5782325690134</v>
      </c>
      <c r="N212" s="51"/>
      <c r="O212" s="51"/>
      <c r="P212" s="51">
        <f>SUM(P20:P211)</f>
        <v>0</v>
      </c>
      <c r="Q212" s="51"/>
      <c r="R212" s="234">
        <f>SUM(R20:R211)</f>
        <v>249634.06583796532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z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zo1NSBQTTwvRGF0ZVRpbWU+PExhYmVsU3RyaW5nPkFFUCBJbnRlcm5hbD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DB602648-4C77-4990-94F7-6C9A49714C1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9093775-274D-4B22-8D1C-F0E405E18E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2022-05-27T21:19:42Z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34117f76-9879-4d8e-89bd-ac1b4323c64e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{DB602648-4C77-4990-94F7-6C9A49714C17}</vt:lpwstr>
  </property>
</Properties>
</file>